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mc:AlternateContent xmlns:mc="http://schemas.openxmlformats.org/markup-compatibility/2006">
    <mc:Choice Requires="x15">
      <x15ac:absPath xmlns:x15ac="http://schemas.microsoft.com/office/spreadsheetml/2010/11/ac" url="S:\Shared Folders\EFCG Documents\1 Surveys\1 Conference Survey Forms\CEO\2025\ACEC\"/>
    </mc:Choice>
  </mc:AlternateContent>
  <xr:revisionPtr revIDLastSave="0" documentId="13_ncr:1_{E21F9BD5-B378-4409-AF18-68E29540CE07}" xr6:coauthVersionLast="47" xr6:coauthVersionMax="47" xr10:uidLastSave="{00000000-0000-0000-0000-000000000000}"/>
  <workbookProtection workbookAlgorithmName="SHA-512" workbookHashValue="Yu7ic3l9wl778H+GxqPIQeUoj2AcOBNAXdsdbhzUtZpFO2npEpU+M2AjSUbuxFGKf2MZP2mTitDd9gb2h4Ozjg==" workbookSaltValue="U9QQP/CeXUUgZgvS4ewrCg==" workbookSpinCount="100000" lockStructure="1"/>
  <bookViews>
    <workbookView xWindow="-120" yWindow="-120" windowWidth="29040" windowHeight="15720" xr2:uid="{71EC9F68-14A9-4A7A-AAA7-6E5524BC4627}"/>
  </bookViews>
  <sheets>
    <sheet name="Cover" sheetId="3" r:id="rId1"/>
    <sheet name="Key Financials" sheetId="1" r:id="rId2"/>
    <sheet name="Overhead" sheetId="11" state="veryHidden" r:id="rId3"/>
    <sheet name="Revenue Details" sheetId="10" state="veryHidden" r:id="rId4"/>
    <sheet name="Additional Revenue Details" sheetId="39" state="veryHidden" r:id="rId5"/>
    <sheet name="CapEx, M&amp;A" sheetId="7" state="veryHidden" r:id="rId6"/>
    <sheet name="Ownership, Governance, Talent" sheetId="14" state="veryHidden" r:id="rId7"/>
    <sheet name="CEO Supplement" sheetId="38" state="veryHidden" r:id="rId8"/>
    <sheet name="Glossary" sheetId="19" r:id="rId9"/>
    <sheet name="Survey Backend &gt;&gt;" sheetId="4" state="veryHidden" r:id="rId10"/>
    <sheet name="DB_Mapping" sheetId="16" state="veryHidden" r:id="rId11"/>
    <sheet name="Checks" sheetId="6" state="veryHidden" r:id="rId12"/>
    <sheet name="Dropdowns" sheetId="2" state="veryHidden" r:id="rId13"/>
    <sheet name="Exchange_Rates_Import" sheetId="36" state="veryHidden" r:id="rId14"/>
  </sheets>
  <externalReferences>
    <externalReference r:id="rId15"/>
    <externalReference r:id="rId16"/>
  </externalReferences>
  <definedNames>
    <definedName name="_Currency">'Key Financials'!$F$8</definedName>
    <definedName name="_ESOP?">'Key Financials'!$M$12</definedName>
    <definedName name="CRUD_DeleteRecordCheck">#REF!</definedName>
    <definedName name="CRUD_Firm">#REF!</definedName>
    <definedName name="CRUD_FirmID">#REF!</definedName>
    <definedName name="CRUD_FirmYearsDropdown">OFFSET(Dropdowns!$AY$20, 0, 0, COUNTIF(INDIRECT("Dropdowns[FocusFirm Years]"), "&gt;0"), 1)</definedName>
    <definedName name="CRUD_Function">#REF!</definedName>
    <definedName name="CRUD_Function_CreateMode">#REF!</definedName>
    <definedName name="CRUD_ImportPath">#REF!</definedName>
    <definedName name="CRUD_MandatoryChecksPassed">#REF!</definedName>
    <definedName name="CRUD_ParamCheck">#REF!</definedName>
    <definedName name="CRUD_ResponseID">#REF!</definedName>
    <definedName name="CRUD_Year">#REF!</definedName>
    <definedName name="Dropdown_2YChangeInESGDemand">Dropdowns!$BN$20:$BN$25</definedName>
    <definedName name="Dropdown_AcctingMethods">Dropdowns!$K$20:$K$21</definedName>
    <definedName name="Dropdown_AcqPurpose">Dropdowns!$L$20:$L$26</definedName>
    <definedName name="Dropdown_AIAspirations">Dropdowns!$BT$20:$BT$23</definedName>
    <definedName name="Dropdown_AITrainingSpend">Dropdowns!$BS$20:$BS$24</definedName>
    <definedName name="Dropdown_AnnualFFPChange">Dropdowns!$BV$20:$BV$23</definedName>
    <definedName name="Dropdown_Blank">Dropdowns!$B$20</definedName>
    <definedName name="Dropdown_BLPorAITraining">Dropdowns!$BL$20:$BL$23</definedName>
    <definedName name="Dropdown_Code" localSheetId="7">Dropdowns[Code]</definedName>
    <definedName name="Dropdown_Code" localSheetId="13">Dropdowns[Code]</definedName>
    <definedName name="Dropdown_Code">Dropdowns[Code]</definedName>
    <definedName name="Dropdown_Countries">Dropdowns!$F$20:$F$246</definedName>
    <definedName name="Dropdown_CustAdvancesLoc">Dropdowns!$J$20:$J$23</definedName>
    <definedName name="Dropdown_DEI">Dropdowns!$AA$20:$AA$22</definedName>
    <definedName name="Dropdown_DEI_original">[1]Dropdowns!$AA$20:$AA$22</definedName>
    <definedName name="Dropdown_DeterminingClientSelectivity">Dropdowns!$BR$20:$BR$25</definedName>
    <definedName name="Dropdown_DiversityChallenges">Dropdowns!$Q$20:$Q$24</definedName>
    <definedName name="Dropdown_EaseIncreasingPricing">Dropdowns!$BP$20:$BP$24</definedName>
    <definedName name="Dropdown_EmployeeAIUse">Dropdowns!$BB$20:$BB$25</definedName>
    <definedName name="Dropdown_EmployeeNextSteps">Dropdowns!$P$20:$P$23</definedName>
    <definedName name="Dropdown_FFPChangeDriver">Dropdowns!$BW$20:$BW$23</definedName>
    <definedName name="Dropdown_FTEsOffshored">Dropdowns!$BY$20:$BY$25</definedName>
    <definedName name="Dropdown_IncentivizeWorkshare">Dropdowns!$BM$20:$BM$23</definedName>
    <definedName name="Dropdown_InclusivityProgramNow">Dropdowns!$BJ$20:$BJ$23</definedName>
    <definedName name="Dropdown_InclusivityProgramYearAgo">Dropdowns!$BI$20:$BI$23</definedName>
    <definedName name="Dropdown_IntChallenges">Dropdowns!$M$20:$M$26</definedName>
    <definedName name="Dropdown_MajorityMinority">Dropdowns!$BA$20:$BA$21</definedName>
    <definedName name="Dropdown_ManagementConsultingRevenue">Dropdowns!$BU$20:$BU$26</definedName>
    <definedName name="Dropdown_Months">Dropdowns!$E$20:$E$31</definedName>
    <definedName name="Dropdown_Premium_Paid">[2]Dropdowns!$V$20:$V$25</definedName>
    <definedName name="Dropdown_Pressure">Dropdowns!$N$20:$N$23</definedName>
    <definedName name="Dropdown_PrivateType">Dropdowns!$I$20:$I$24</definedName>
    <definedName name="Dropdown_ProfitabilityOutlook">Dropdowns!$S$20:$S$23</definedName>
    <definedName name="Dropdown_PublicPrivate">Dropdowns!$H$20:$H$22</definedName>
    <definedName name="Dropdown_RecessionBelief">Dropdowns!$BZ$20:$BZ$23</definedName>
    <definedName name="Dropdown_RecessionFear">Dropdowns!$CA$20:$CA$25</definedName>
    <definedName name="Dropdown_ResponseEvolvingESG">Dropdowns!$BO$20:$BO$24</definedName>
    <definedName name="Dropdown_RevenueOutlook">Dropdowns!$R$20:$R$24</definedName>
    <definedName name="Dropdown_Sectors">Dropdowns!$AP$20:$AP$31</definedName>
    <definedName name="Dropdown_SetAsideMnADiscount">Dropdowns!$BH$20:$BH$25</definedName>
    <definedName name="Dropdown_States">Dropdowns!$G$20:$G$76</definedName>
    <definedName name="Dropdown_StrategicInitiativeCost">Dropdowns!$BF$20:$BF$24</definedName>
    <definedName name="Dropdown_StrategicInitiativeROI">Dropdowns!$BG$20:$BG$24</definedName>
    <definedName name="Dropdown_StratPlanHorizon">Dropdowns!$O$20:$O$23</definedName>
    <definedName name="Dropdown_SubscriptionOrSoftwareProfit?">Dropdowns!$AZ$20:$AZ$23</definedName>
    <definedName name="Dropdown_SuccessIncreasingPricing">Dropdowns!$BQ$20:$BQ$24</definedName>
    <definedName name="Dropdown_Sustainability">Dropdowns!$AB$20:$AB$22</definedName>
    <definedName name="Dropdown_Sustainability_OfferingServices">Dropdowns!$BC$20:$BC$25</definedName>
    <definedName name="Dropdown_Sustainability_Regulations">Dropdowns!$BE$20:$BE$25</definedName>
    <definedName name="Dropdown_Sustainability_ROI">Dropdowns!$BD$20:$BD$25</definedName>
    <definedName name="Dropdown_SustainabilityChallenges">Dropdowns!$Z$20:$Z$26</definedName>
    <definedName name="Dropdown_SustainabilityDisclosureRatings">Dropdowns!$W$20:$W$24</definedName>
    <definedName name="Dropdown_SustainabilityDisclosures">Dropdowns!$V$20:$V$22</definedName>
    <definedName name="Dropdown_SustainabilityDrivers">Dropdowns!$U$20:$U$25</definedName>
    <definedName name="Dropdown_SustainabilityLoan">Dropdowns!$BX$20:$BX$23</definedName>
    <definedName name="Dropdown_SustainabilityMeasures">Dropdowns!$Y$20:$Y$23</definedName>
    <definedName name="Dropdown_SustainabilityOpport.">Dropdowns!$T$20:$T$27</definedName>
    <definedName name="Dropdown_SustainabilityPerfReport">Dropdowns!$X$20:$X$24</definedName>
    <definedName name="Dropdown_TalentFrequency">Dropdowns!$BK$20:$BK$24</definedName>
    <definedName name="Dropdown_Years">Dropdowns!$D$20:$D$45</definedName>
    <definedName name="Dropdown_YesNo">Dropdowns!$C$20:$C$21</definedName>
    <definedName name="ExportForm_FileName">#REF!</definedName>
    <definedName name="ExportForm_Password">#REF!</definedName>
    <definedName name="ExternalData_1" localSheetId="13" hidden="1">Exchange_Rates_Import!$A$8:$L$19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43825.8253472222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in_DB_Path">#REF!</definedName>
    <definedName name="Main_DB_Path2">#REF!</definedName>
    <definedName name="Main_DB_Status">#REF!</definedName>
    <definedName name="MasterFile_YEAR">#REF!</definedName>
    <definedName name="_xlnm.Print_Area" localSheetId="4">'Additional Revenue Details'!$B$2:$O$147</definedName>
    <definedName name="_xlnm.Print_Area" localSheetId="5">'CapEx, M&amp;A'!$B$2:$O$173</definedName>
    <definedName name="_xlnm.Print_Area" localSheetId="7">'CEO Supplement'!$B$2:$O$242</definedName>
    <definedName name="_xlnm.Print_Area" localSheetId="0">Cover!$C$2:$N$60</definedName>
    <definedName name="_xlnm.Print_Area" localSheetId="8">Glossary!$B$2:$G$137</definedName>
    <definedName name="_xlnm.Print_Area" localSheetId="1">'Key Financials'!$B$2:$O$122</definedName>
    <definedName name="_xlnm.Print_Area" localSheetId="2">Overhead!$B$2:$O$111</definedName>
    <definedName name="_xlnm.Print_Area" localSheetId="6">'Ownership, Governance, Talent'!$B$2:$O$177</definedName>
    <definedName name="_xlnm.Print_Area" localSheetId="3">'Revenue Details'!$B$2:$O$226</definedName>
    <definedName name="Query_Exchange_Rates_Import_LastAttempt">#REF!</definedName>
    <definedName name="Query_Exchange_Rates_Import_Success">#REF!</definedName>
    <definedName name="Query_Fields_Master_Import_LastAttempt">#REF!</definedName>
    <definedName name="Query_Fields_Master_Import_LastUpdate">#REF!</definedName>
    <definedName name="Query_Fields_Master_Import_Success">#REF!</definedName>
    <definedName name="Query_Reponses_Import_LastUpdate">#REF!</definedName>
    <definedName name="Query_Responses_Import_LastAttempt">#REF!</definedName>
    <definedName name="Query_Responses_Import_Success">#REF!</definedName>
    <definedName name="Query_UniqueFirms_Import_LastAttempt">#REF!</definedName>
    <definedName name="Query_UniqueFirms_Import_LastUpdate">#REF!</definedName>
    <definedName name="Query_UniqueFirms_Import_Success">#REF!</definedName>
    <definedName name="Temp_Import_Anchor">#REF!</definedName>
    <definedName name="Version_Control_Path">#REF!</definedName>
    <definedName name="Version_Control_Path2">#REF!</definedName>
    <definedName name="Version_Control_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3" l="1"/>
  <c r="C2" i="3"/>
  <c r="D153" i="14"/>
  <c r="M74" i="7"/>
  <c r="L74" i="7"/>
  <c r="K74" i="7"/>
  <c r="J74" i="7"/>
  <c r="I74" i="7"/>
  <c r="H74" i="7"/>
  <c r="D6" i="39"/>
  <c r="D136" i="10"/>
  <c r="D130" i="10"/>
  <c r="D120" i="10"/>
  <c r="D117" i="10"/>
  <c r="D115" i="10"/>
  <c r="D113" i="10"/>
  <c r="D101" i="10"/>
  <c r="D6" i="10"/>
  <c r="D30" i="11"/>
  <c r="L10" i="11"/>
  <c r="D8" i="11"/>
  <c r="M113" i="1"/>
  <c r="L113" i="1"/>
  <c r="M93" i="1"/>
  <c r="D76" i="1"/>
  <c r="M45" i="1"/>
  <c r="L45" i="1"/>
  <c r="K45" i="1"/>
  <c r="D36" i="1"/>
  <c r="M22" i="1"/>
  <c r="L22" i="1"/>
  <c r="K22" i="1"/>
  <c r="F110" i="11"/>
  <c r="B706" i="16"/>
  <c r="D174" i="38" l="1"/>
  <c r="M104" i="1" l="1"/>
  <c r="J204" i="10" l="1"/>
  <c r="B731" i="16"/>
  <c r="B730" i="16"/>
  <c r="B671" i="16"/>
  <c r="B674" i="16"/>
  <c r="D185" i="38" l="1"/>
  <c r="B678" i="16"/>
  <c r="B728" i="16"/>
  <c r="B665" i="16"/>
  <c r="B713" i="16"/>
  <c r="B711" i="16"/>
  <c r="B719" i="16"/>
  <c r="B676" i="16"/>
  <c r="B668" i="16"/>
  <c r="B708" i="16"/>
  <c r="B721" i="16"/>
  <c r="B699" i="16"/>
  <c r="B685" i="16"/>
  <c r="B696" i="16"/>
  <c r="B718" i="16"/>
  <c r="B710" i="16"/>
  <c r="B712" i="16"/>
  <c r="C730" i="16"/>
  <c r="B715" i="16"/>
  <c r="B722" i="16"/>
  <c r="B717" i="16"/>
  <c r="B704" i="16"/>
  <c r="C731" i="16"/>
  <c r="B701" i="16"/>
  <c r="B686" i="16"/>
  <c r="B692" i="16"/>
  <c r="B724" i="16"/>
  <c r="B709" i="16"/>
  <c r="B723" i="16"/>
  <c r="B714" i="16"/>
  <c r="B705" i="16"/>
  <c r="B672" i="16"/>
  <c r="B690" i="16"/>
  <c r="B682" i="16"/>
  <c r="B688" i="16"/>
  <c r="B694" i="16"/>
  <c r="C674" i="16"/>
  <c r="B684" i="16"/>
  <c r="B697" i="16"/>
  <c r="B702" i="16"/>
  <c r="B681" i="16"/>
  <c r="B673" i="16"/>
  <c r="B720" i="16"/>
  <c r="B680" i="16"/>
  <c r="B691" i="16"/>
  <c r="B727" i="16"/>
  <c r="B725" i="16"/>
  <c r="C671" i="16"/>
  <c r="B666" i="16"/>
  <c r="B716" i="16"/>
  <c r="B689" i="16"/>
  <c r="B700" i="16"/>
  <c r="B695" i="16"/>
  <c r="B707" i="16"/>
  <c r="B687" i="16"/>
  <c r="B693" i="16"/>
  <c r="B729" i="16"/>
  <c r="B683" i="16"/>
  <c r="B698" i="16"/>
  <c r="B675" i="16"/>
  <c r="B679" i="16"/>
  <c r="B667" i="16"/>
  <c r="B703" i="16"/>
  <c r="B663" i="16"/>
  <c r="B664" i="16"/>
  <c r="B726" i="16"/>
  <c r="B677" i="16"/>
  <c r="B669" i="16"/>
  <c r="B670" i="16"/>
  <c r="C706" i="16"/>
  <c r="P218" i="38" l="1"/>
  <c r="P216" i="38"/>
  <c r="J112" i="14"/>
  <c r="D41" i="38"/>
  <c r="C683" i="16"/>
  <c r="C679" i="16"/>
  <c r="C682" i="16"/>
  <c r="C687" i="16"/>
  <c r="C695" i="16"/>
  <c r="C693" i="16"/>
  <c r="C708" i="16"/>
  <c r="C697" i="16"/>
  <c r="C728" i="16"/>
  <c r="C729" i="16"/>
  <c r="C714" i="16"/>
  <c r="C670" i="16"/>
  <c r="C723" i="16"/>
  <c r="C710" i="16"/>
  <c r="C702" i="16"/>
  <c r="C700" i="16"/>
  <c r="C669" i="16"/>
  <c r="C666" i="16"/>
  <c r="C707" i="16"/>
  <c r="C668" i="16"/>
  <c r="C721" i="16"/>
  <c r="C664" i="16"/>
  <c r="C699" i="16"/>
  <c r="C716" i="16"/>
  <c r="C712" i="16"/>
  <c r="C681" i="16"/>
  <c r="C686" i="16"/>
  <c r="C724" i="16"/>
  <c r="C675" i="16"/>
  <c r="C694" i="16"/>
  <c r="C689" i="16"/>
  <c r="C718" i="16"/>
  <c r="C680" i="16"/>
  <c r="C704" i="16"/>
  <c r="C713" i="16"/>
  <c r="C719" i="16"/>
  <c r="C685" i="16"/>
  <c r="C711" i="16"/>
  <c r="C688" i="16"/>
  <c r="C722" i="16"/>
  <c r="C727" i="16"/>
  <c r="C691" i="16"/>
  <c r="C673" i="16"/>
  <c r="C690" i="16"/>
  <c r="C705" i="16"/>
  <c r="C667" i="16"/>
  <c r="C684" i="16"/>
  <c r="C709" i="16"/>
  <c r="C701" i="16"/>
  <c r="C676" i="16"/>
  <c r="C692" i="16"/>
  <c r="C696" i="16"/>
  <c r="C665" i="16"/>
  <c r="C677" i="16"/>
  <c r="C725" i="16"/>
  <c r="C703" i="16"/>
  <c r="C678" i="16"/>
  <c r="C726" i="16"/>
  <c r="C663" i="16"/>
  <c r="C672" i="16"/>
  <c r="C720" i="16"/>
  <c r="C717" i="16"/>
  <c r="C715" i="16"/>
  <c r="C698" i="16"/>
  <c r="P214" i="38" l="1"/>
  <c r="D214" i="38"/>
  <c r="P210" i="38"/>
  <c r="P109" i="14"/>
  <c r="I88" i="10"/>
  <c r="I81" i="10"/>
  <c r="E81" i="10"/>
  <c r="H64" i="10"/>
  <c r="H57" i="10"/>
  <c r="E64" i="10"/>
  <c r="E57" i="10"/>
  <c r="L93" i="11"/>
  <c r="G93" i="11"/>
  <c r="L81" i="11"/>
  <c r="L71" i="11"/>
  <c r="L50" i="11"/>
  <c r="L46" i="11"/>
  <c r="L40" i="11"/>
  <c r="L36" i="11"/>
  <c r="J61" i="11"/>
  <c r="H61" i="11"/>
  <c r="L100" i="11" s="1"/>
  <c r="L58" i="11"/>
  <c r="L56" i="11"/>
  <c r="L54" i="11"/>
  <c r="L52" i="11"/>
  <c r="L48" i="11"/>
  <c r="L44" i="11"/>
  <c r="L42" i="11"/>
  <c r="L38" i="11"/>
  <c r="L34" i="11"/>
  <c r="M82" i="1"/>
  <c r="M87" i="1" s="1"/>
  <c r="M90" i="1" s="1"/>
  <c r="H81" i="1"/>
  <c r="H88" i="1" s="1"/>
  <c r="M55" i="1"/>
  <c r="M49" i="1"/>
  <c r="L55" i="1"/>
  <c r="L49" i="1"/>
  <c r="K55" i="1"/>
  <c r="K49" i="1"/>
  <c r="M33" i="1"/>
  <c r="M28" i="1"/>
  <c r="L28" i="1"/>
  <c r="B604" i="16"/>
  <c r="B656" i="16"/>
  <c r="L61" i="11" l="1"/>
  <c r="L102" i="11"/>
  <c r="L105" i="11" s="1"/>
  <c r="B662" i="16"/>
  <c r="B661" i="16"/>
  <c r="B660" i="16"/>
  <c r="M11" i="10" l="1"/>
  <c r="C660" i="16"/>
  <c r="C662" i="16"/>
  <c r="B141" i="16"/>
  <c r="C661" i="16"/>
  <c r="G47" i="1" l="1"/>
  <c r="P200" i="38"/>
  <c r="M200" i="38" l="1"/>
  <c r="B647" i="16"/>
  <c r="G66" i="7" l="1"/>
  <c r="D48" i="7" l="1"/>
  <c r="G198" i="38"/>
  <c r="G194" i="38"/>
  <c r="P12" i="1" l="1"/>
  <c r="H122" i="7" l="1"/>
  <c r="H120" i="7" l="1"/>
  <c r="D32" i="7" l="1"/>
  <c r="P128" i="10"/>
  <c r="P134" i="10"/>
  <c r="L40" i="7" l="1"/>
  <c r="H141" i="39" l="1"/>
  <c r="H133" i="39"/>
  <c r="M141" i="39"/>
  <c r="M133" i="39"/>
  <c r="M125" i="39"/>
  <c r="H125" i="39"/>
  <c r="M117" i="39"/>
  <c r="H117" i="39"/>
  <c r="H109" i="39"/>
  <c r="M109" i="39"/>
  <c r="H97" i="39"/>
  <c r="M97" i="39"/>
  <c r="M57" i="39"/>
  <c r="H89" i="39"/>
  <c r="H81" i="39"/>
  <c r="M89" i="39"/>
  <c r="M81" i="39"/>
  <c r="M73" i="39"/>
  <c r="H73" i="39"/>
  <c r="M65" i="39"/>
  <c r="M41" i="39"/>
  <c r="H65" i="39"/>
  <c r="M49" i="39"/>
  <c r="H57" i="39"/>
  <c r="H49" i="39"/>
  <c r="H41" i="39"/>
  <c r="M33" i="39"/>
  <c r="H33" i="39"/>
  <c r="H25" i="39"/>
  <c r="M25" i="39"/>
  <c r="H13" i="39"/>
  <c r="P81" i="39" l="1"/>
  <c r="P141" i="39"/>
  <c r="P117" i="39"/>
  <c r="P125" i="39"/>
  <c r="P133" i="39"/>
  <c r="P97" i="39"/>
  <c r="P89" i="39"/>
  <c r="P73" i="39"/>
  <c r="P65" i="39"/>
  <c r="P41" i="39"/>
  <c r="P33" i="39"/>
  <c r="P109" i="39"/>
  <c r="P57" i="39"/>
  <c r="P49" i="39"/>
  <c r="P25" i="39"/>
  <c r="B609" i="16"/>
  <c r="B657" i="16"/>
  <c r="B406" i="16"/>
  <c r="B608" i="16"/>
  <c r="B602" i="16"/>
  <c r="B628" i="16"/>
  <c r="B586" i="16"/>
  <c r="B630" i="16"/>
  <c r="B412" i="16"/>
  <c r="B642" i="16"/>
  <c r="B612" i="16"/>
  <c r="B430" i="16"/>
  <c r="B605" i="16"/>
  <c r="B624" i="16"/>
  <c r="B433" i="16"/>
  <c r="B421" i="16"/>
  <c r="B629" i="16"/>
  <c r="B431" i="16"/>
  <c r="B389" i="16"/>
  <c r="B392" i="16"/>
  <c r="B654" i="16"/>
  <c r="B419" i="16"/>
  <c r="B386" i="16"/>
  <c r="B653" i="16"/>
  <c r="B445" i="16"/>
  <c r="B404" i="16"/>
  <c r="B619" i="16"/>
  <c r="B633" i="16"/>
  <c r="B635" i="16"/>
  <c r="B452" i="16"/>
  <c r="B438" i="16"/>
  <c r="B368" i="16"/>
  <c r="B455" i="16"/>
  <c r="B614" i="16"/>
  <c r="B632" i="16"/>
  <c r="B607" i="16"/>
  <c r="B564" i="16"/>
  <c r="B30" i="6"/>
  <c r="B458" i="16"/>
  <c r="B417" i="16"/>
  <c r="B31" i="6"/>
  <c r="B578" i="16"/>
  <c r="B620" i="16"/>
  <c r="B460" i="16"/>
  <c r="B645" i="16"/>
  <c r="B601" i="16"/>
  <c r="B625" i="16"/>
  <c r="B600" i="16"/>
  <c r="B634" i="16"/>
  <c r="B446" i="16"/>
  <c r="C647" i="16"/>
  <c r="B461" i="16"/>
  <c r="B631" i="16"/>
  <c r="B425" i="16"/>
  <c r="B426" i="16"/>
  <c r="B391" i="16"/>
  <c r="B443" i="16"/>
  <c r="B650" i="16"/>
  <c r="B610" i="16"/>
  <c r="B405" i="16"/>
  <c r="B616" i="16"/>
  <c r="B457" i="16"/>
  <c r="B641" i="16"/>
  <c r="B451" i="16"/>
  <c r="B658" i="16"/>
  <c r="B648" i="16"/>
  <c r="B623" i="16"/>
  <c r="B646" i="16"/>
  <c r="B579" i="16"/>
  <c r="B394" i="16"/>
  <c r="B652" i="16"/>
  <c r="B638" i="16"/>
  <c r="B463" i="16"/>
  <c r="B459" i="16"/>
  <c r="B434" i="16"/>
  <c r="B453" i="16"/>
  <c r="B643" i="16"/>
  <c r="B449" i="16"/>
  <c r="B580" i="16"/>
  <c r="B611" i="16"/>
  <c r="B636" i="16"/>
  <c r="B432" i="16"/>
  <c r="B418" i="16"/>
  <c r="B617" i="16"/>
  <c r="B651" i="16"/>
  <c r="B448" i="16"/>
  <c r="B462" i="16"/>
  <c r="B613" i="16"/>
  <c r="B454" i="16"/>
  <c r="B395" i="16"/>
  <c r="B626" i="16"/>
  <c r="B439" i="16"/>
  <c r="B637" i="16"/>
  <c r="B548" i="16"/>
  <c r="B622" i="16"/>
  <c r="B627" i="16"/>
  <c r="B447" i="16"/>
  <c r="B603" i="16"/>
  <c r="B659" i="16"/>
  <c r="B444" i="16"/>
  <c r="B640" i="16"/>
  <c r="B649" i="16"/>
  <c r="B639" i="16"/>
  <c r="B618" i="16"/>
  <c r="B408" i="16"/>
  <c r="B450" i="16"/>
  <c r="B563" i="16"/>
  <c r="B407" i="16"/>
  <c r="B655" i="16"/>
  <c r="B413" i="16"/>
  <c r="B400" i="16"/>
  <c r="B621" i="16"/>
  <c r="B399" i="16"/>
  <c r="B644" i="16"/>
  <c r="B456" i="16"/>
  <c r="B615" i="16"/>
  <c r="B606" i="16"/>
  <c r="B393" i="16"/>
  <c r="B420" i="16"/>
  <c r="B387" i="16"/>
  <c r="M13" i="39" l="1"/>
  <c r="P13" i="39" s="1"/>
  <c r="C646" i="16"/>
  <c r="C443" i="16"/>
  <c r="C449" i="16"/>
  <c r="C609" i="16"/>
  <c r="C657" i="16"/>
  <c r="C639" i="16"/>
  <c r="C618" i="16"/>
  <c r="C648" i="16"/>
  <c r="C634" i="16"/>
  <c r="C613" i="16"/>
  <c r="C446" i="16"/>
  <c r="C392" i="16"/>
  <c r="C434" i="16"/>
  <c r="C652" i="16"/>
  <c r="C650" i="16"/>
  <c r="C445" i="16"/>
  <c r="C459" i="16"/>
  <c r="C631" i="16"/>
  <c r="C614" i="16"/>
  <c r="C408" i="16"/>
  <c r="C421" i="16"/>
  <c r="C632" i="16"/>
  <c r="C615" i="16"/>
  <c r="C625" i="16"/>
  <c r="C451" i="16"/>
  <c r="C563" i="16"/>
  <c r="C623" i="16"/>
  <c r="C629" i="16"/>
  <c r="C430" i="16"/>
  <c r="C649" i="16"/>
  <c r="C607" i="16"/>
  <c r="C431" i="16"/>
  <c r="C627" i="16"/>
  <c r="C628" i="16"/>
  <c r="C391" i="16"/>
  <c r="C635" i="16"/>
  <c r="C405" i="16"/>
  <c r="C638" i="16"/>
  <c r="C438" i="16"/>
  <c r="C404" i="16"/>
  <c r="C603" i="16"/>
  <c r="C406" i="16"/>
  <c r="C417" i="16"/>
  <c r="C608" i="16"/>
  <c r="C426" i="16"/>
  <c r="C439" i="16"/>
  <c r="C455" i="16"/>
  <c r="C616" i="16"/>
  <c r="C606" i="16"/>
  <c r="C651" i="16"/>
  <c r="C400" i="16"/>
  <c r="C611" i="16"/>
  <c r="C644" i="16"/>
  <c r="C395" i="16"/>
  <c r="C394" i="16"/>
  <c r="C612" i="16"/>
  <c r="C656" i="16"/>
  <c r="C620" i="16"/>
  <c r="C604" i="16"/>
  <c r="C413" i="16"/>
  <c r="C605" i="16"/>
  <c r="C626" i="16"/>
  <c r="C450" i="16"/>
  <c r="C659" i="16"/>
  <c r="C454" i="16"/>
  <c r="C602" i="16"/>
  <c r="C645" i="16"/>
  <c r="C640" i="16"/>
  <c r="C643" i="16"/>
  <c r="C399" i="16"/>
  <c r="C617" i="16"/>
  <c r="C432" i="16"/>
  <c r="C444" i="16"/>
  <c r="C412" i="16"/>
  <c r="C630" i="16"/>
  <c r="C425" i="16"/>
  <c r="C622" i="16"/>
  <c r="C458" i="16"/>
  <c r="C658" i="16"/>
  <c r="C456" i="16"/>
  <c r="C578" i="16"/>
  <c r="C610" i="16"/>
  <c r="C653" i="16"/>
  <c r="C419" i="16"/>
  <c r="C407" i="16"/>
  <c r="C637" i="16"/>
  <c r="C654" i="16"/>
  <c r="C433" i="16"/>
  <c r="C453" i="16"/>
  <c r="C642" i="16"/>
  <c r="C621" i="16"/>
  <c r="C636" i="16"/>
  <c r="C633" i="16"/>
  <c r="C641" i="16"/>
  <c r="C655" i="16"/>
  <c r="C418" i="16"/>
  <c r="C447" i="16"/>
  <c r="C386" i="16"/>
  <c r="C457" i="16"/>
  <c r="C420" i="16"/>
  <c r="C580" i="16"/>
  <c r="C387" i="16"/>
  <c r="C619" i="16"/>
  <c r="C393" i="16"/>
  <c r="C624" i="16"/>
  <c r="C452" i="16"/>
  <c r="C448" i="16"/>
  <c r="C579" i="16"/>
  <c r="A1" i="36" l="1"/>
  <c r="A1" i="2"/>
  <c r="A1" i="6"/>
  <c r="A1" i="16" l="1"/>
  <c r="C467" i="16" l="1"/>
  <c r="C475" i="16"/>
  <c r="C476" i="16"/>
  <c r="A1" i="4"/>
  <c r="P8" i="14"/>
  <c r="P10" i="14"/>
  <c r="D79" i="14"/>
  <c r="P90" i="14"/>
  <c r="L105" i="14"/>
  <c r="D140" i="14"/>
  <c r="D142" i="14"/>
  <c r="G159" i="14"/>
  <c r="G161" i="14"/>
  <c r="G163" i="14"/>
  <c r="G165" i="14"/>
  <c r="D8" i="7"/>
  <c r="D10" i="7"/>
  <c r="L12" i="7"/>
  <c r="P12" i="7"/>
  <c r="P16" i="7"/>
  <c r="P30" i="7"/>
  <c r="P34" i="7"/>
  <c r="P36" i="7"/>
  <c r="M38" i="7"/>
  <c r="G78" i="7"/>
  <c r="D82" i="7"/>
  <c r="G87" i="7"/>
  <c r="J87" i="7"/>
  <c r="M87" i="7"/>
  <c r="D110" i="7"/>
  <c r="H118" i="7"/>
  <c r="P11" i="10"/>
  <c r="M22" i="10"/>
  <c r="P22" i="10" s="1"/>
  <c r="M33" i="10"/>
  <c r="P33" i="10" s="1"/>
  <c r="M38" i="10"/>
  <c r="P38" i="10" s="1"/>
  <c r="M49" i="10"/>
  <c r="P49" i="10" s="1"/>
  <c r="E52" i="10"/>
  <c r="M52" i="10"/>
  <c r="P57" i="10"/>
  <c r="P59" i="10"/>
  <c r="P64" i="10"/>
  <c r="P66" i="10"/>
  <c r="E76" i="10"/>
  <c r="P83" i="10" s="1"/>
  <c r="M76" i="10"/>
  <c r="P76" i="10" s="1"/>
  <c r="P115" i="10"/>
  <c r="D118" i="10"/>
  <c r="K10" i="11"/>
  <c r="L14" i="11"/>
  <c r="L21" i="11" s="1"/>
  <c r="P103" i="11" s="1"/>
  <c r="P34" i="11"/>
  <c r="P36" i="11"/>
  <c r="P38" i="11"/>
  <c r="P40" i="11"/>
  <c r="P42" i="11"/>
  <c r="P44" i="11"/>
  <c r="P46" i="11"/>
  <c r="P48" i="11"/>
  <c r="P50" i="11"/>
  <c r="P52" i="11"/>
  <c r="P54" i="11"/>
  <c r="P56" i="11"/>
  <c r="P58" i="11"/>
  <c r="P61" i="11"/>
  <c r="M79" i="11"/>
  <c r="P93" i="11"/>
  <c r="P98" i="11"/>
  <c r="P99" i="11"/>
  <c r="K105" i="11"/>
  <c r="P6" i="1"/>
  <c r="P8" i="1"/>
  <c r="P10" i="1"/>
  <c r="P14" i="1"/>
  <c r="J22" i="1"/>
  <c r="P33" i="1"/>
  <c r="J45" i="1"/>
  <c r="P51" i="1"/>
  <c r="P47" i="1"/>
  <c r="G49" i="1"/>
  <c r="P49" i="1"/>
  <c r="P50" i="1"/>
  <c r="G53" i="1"/>
  <c r="P53" i="1"/>
  <c r="P55" i="1"/>
  <c r="K65" i="1"/>
  <c r="K67" i="1" s="1"/>
  <c r="H78" i="1"/>
  <c r="M78" i="1"/>
  <c r="P81" i="1"/>
  <c r="P82" i="1"/>
  <c r="L93" i="1"/>
  <c r="D97" i="1"/>
  <c r="M99" i="1"/>
  <c r="P105" i="11"/>
  <c r="P97" i="11"/>
  <c r="P16" i="11"/>
  <c r="K14" i="11"/>
  <c r="C31" i="6"/>
  <c r="C30" i="6"/>
  <c r="AY20" i="2" l="1"/>
  <c r="AY21" i="2" s="1"/>
  <c r="AY22" i="2" s="1"/>
  <c r="AY23" i="2" s="1"/>
  <c r="AY24" i="2" s="1"/>
  <c r="AY25" i="2" s="1"/>
  <c r="AY26" i="2" s="1"/>
  <c r="AY27" i="2" s="1"/>
  <c r="AY28" i="2" s="1"/>
  <c r="AY29" i="2" s="1"/>
  <c r="AY30" i="2" s="1"/>
  <c r="AY31" i="2" s="1"/>
  <c r="AY32" i="2" s="1"/>
  <c r="AY33" i="2" s="1"/>
  <c r="AY34" i="2" s="1"/>
  <c r="AY35" i="2" s="1"/>
  <c r="AY36" i="2" s="1"/>
  <c r="AY37" i="2" s="1"/>
  <c r="AY38" i="2" s="1"/>
  <c r="AY39" i="2" s="1"/>
  <c r="AY40" i="2" s="1"/>
  <c r="AY41" i="2" s="1"/>
  <c r="AY42" i="2" s="1"/>
  <c r="AY43" i="2" s="1"/>
  <c r="AY44" i="2" s="1"/>
  <c r="AY45" i="2" s="1"/>
  <c r="AY46" i="2" s="1"/>
  <c r="AY47" i="2" s="1"/>
  <c r="AY48" i="2" s="1"/>
  <c r="AY49" i="2" s="1"/>
  <c r="AY50" i="2" s="1"/>
  <c r="AY51" i="2" s="1"/>
  <c r="AY52" i="2" s="1"/>
  <c r="AY53" i="2" s="1"/>
  <c r="AY54" i="2" s="1"/>
  <c r="AY55" i="2" s="1"/>
  <c r="AY56" i="2" s="1"/>
  <c r="AY57" i="2" s="1"/>
  <c r="AY58" i="2" s="1"/>
  <c r="AY59" i="2" s="1"/>
  <c r="AY60" i="2" s="1"/>
  <c r="AY61" i="2" s="1"/>
  <c r="AY62" i="2" s="1"/>
  <c r="AY63" i="2" s="1"/>
  <c r="AY64" i="2" s="1"/>
  <c r="AY65" i="2" s="1"/>
  <c r="AY66" i="2" s="1"/>
  <c r="AY67" i="2" s="1"/>
  <c r="AY68" i="2" s="1"/>
  <c r="AY69" i="2" s="1"/>
  <c r="AY70" i="2" s="1"/>
  <c r="AY71" i="2" s="1"/>
  <c r="AY72" i="2" s="1"/>
  <c r="AY73" i="2" s="1"/>
  <c r="AY74" i="2" s="1"/>
  <c r="AY75" i="2" s="1"/>
  <c r="AY76" i="2" s="1"/>
  <c r="AY77" i="2" s="1"/>
  <c r="AY78" i="2" s="1"/>
  <c r="AY79" i="2" s="1"/>
  <c r="AY80" i="2" s="1"/>
  <c r="AY81" i="2" s="1"/>
  <c r="AY82" i="2" s="1"/>
  <c r="AY83" i="2" s="1"/>
  <c r="AY84" i="2" s="1"/>
  <c r="AY85" i="2" s="1"/>
  <c r="AY86" i="2" s="1"/>
  <c r="AY87" i="2" s="1"/>
  <c r="AY88" i="2" s="1"/>
  <c r="AY89" i="2" s="1"/>
  <c r="AY90" i="2" s="1"/>
  <c r="AY91" i="2" s="1"/>
  <c r="AY92" i="2" s="1"/>
  <c r="AY93" i="2" s="1"/>
  <c r="AY94" i="2" s="1"/>
  <c r="AY95" i="2" s="1"/>
  <c r="AY96" i="2" s="1"/>
  <c r="AY97" i="2" s="1"/>
  <c r="AY98" i="2" s="1"/>
  <c r="AY99" i="2" s="1"/>
  <c r="AY100" i="2" s="1"/>
  <c r="AY101" i="2" s="1"/>
  <c r="AY102" i="2" s="1"/>
  <c r="AY103" i="2" s="1"/>
  <c r="AY104" i="2" s="1"/>
  <c r="AY105" i="2" s="1"/>
  <c r="AY106" i="2" s="1"/>
  <c r="AY107" i="2" s="1"/>
  <c r="AY108" i="2" s="1"/>
  <c r="AY109" i="2" s="1"/>
  <c r="AY110" i="2" s="1"/>
  <c r="AY111" i="2" s="1"/>
  <c r="AY112" i="2" s="1"/>
  <c r="AY113" i="2" s="1"/>
  <c r="AY114" i="2" s="1"/>
  <c r="AY115" i="2" s="1"/>
  <c r="AY116" i="2" s="1"/>
  <c r="AY117" i="2" s="1"/>
  <c r="AY118" i="2" s="1"/>
  <c r="AY119" i="2" s="1"/>
  <c r="AY120" i="2" s="1"/>
  <c r="AY121" i="2" s="1"/>
  <c r="AY122" i="2" s="1"/>
  <c r="AY123" i="2" s="1"/>
  <c r="AY124" i="2" s="1"/>
  <c r="AY125" i="2" s="1"/>
  <c r="AY126" i="2" s="1"/>
  <c r="AY127" i="2" s="1"/>
  <c r="AY128" i="2" s="1"/>
  <c r="AY129" i="2" s="1"/>
  <c r="AY130" i="2" s="1"/>
  <c r="AY131" i="2" s="1"/>
  <c r="AY132" i="2" s="1"/>
  <c r="AY133" i="2" s="1"/>
  <c r="AY134" i="2" s="1"/>
  <c r="AY135" i="2" s="1"/>
  <c r="AY136" i="2" s="1"/>
  <c r="AY137" i="2" s="1"/>
  <c r="AY138" i="2" s="1"/>
  <c r="AY139" i="2" s="1"/>
  <c r="AY140" i="2" s="1"/>
  <c r="AY141" i="2" s="1"/>
  <c r="AY142" i="2" s="1"/>
  <c r="AY143" i="2" s="1"/>
  <c r="AY144" i="2" s="1"/>
  <c r="AY145" i="2" s="1"/>
  <c r="AY146" i="2" s="1"/>
  <c r="AY147" i="2" s="1"/>
  <c r="AY148" i="2" s="1"/>
  <c r="AY149" i="2" s="1"/>
  <c r="AY150" i="2" s="1"/>
  <c r="AY151" i="2" s="1"/>
  <c r="AY152" i="2" s="1"/>
  <c r="AY153" i="2" s="1"/>
  <c r="AY154" i="2" s="1"/>
  <c r="AY155" i="2" s="1"/>
  <c r="AY156" i="2" s="1"/>
  <c r="AY157" i="2" s="1"/>
  <c r="AY158" i="2" s="1"/>
  <c r="AY159" i="2" s="1"/>
  <c r="AY160" i="2" s="1"/>
  <c r="AY161" i="2" s="1"/>
  <c r="AY162" i="2" s="1"/>
  <c r="AY163" i="2" s="1"/>
  <c r="AY164" i="2" s="1"/>
  <c r="AY165" i="2" s="1"/>
  <c r="AY166" i="2" s="1"/>
  <c r="AY167" i="2" s="1"/>
  <c r="AY168" i="2" s="1"/>
  <c r="AY169" i="2" s="1"/>
  <c r="AY170" i="2" s="1"/>
  <c r="AY171" i="2" s="1"/>
  <c r="AY172" i="2" s="1"/>
  <c r="AY173" i="2" s="1"/>
  <c r="AY174" i="2" s="1"/>
  <c r="AY175" i="2" s="1"/>
  <c r="AY176" i="2" s="1"/>
  <c r="AY177" i="2" s="1"/>
  <c r="AY178" i="2" s="1"/>
  <c r="AY179" i="2" s="1"/>
  <c r="AY180" i="2" s="1"/>
  <c r="AY181" i="2" s="1"/>
  <c r="AY182" i="2" s="1"/>
  <c r="AY183" i="2" s="1"/>
  <c r="AY184" i="2" s="1"/>
  <c r="AY185" i="2" s="1"/>
  <c r="AY186" i="2" s="1"/>
  <c r="AY187" i="2" s="1"/>
  <c r="AY188" i="2" s="1"/>
  <c r="AY189" i="2" s="1"/>
  <c r="AY190" i="2" s="1"/>
  <c r="AY191" i="2" s="1"/>
  <c r="AY192" i="2" s="1"/>
  <c r="AY193" i="2" s="1"/>
  <c r="AY194" i="2" s="1"/>
  <c r="AY195" i="2" s="1"/>
  <c r="AY196" i="2" s="1"/>
  <c r="AY197" i="2" s="1"/>
  <c r="AY198" i="2" s="1"/>
  <c r="AY199" i="2" s="1"/>
  <c r="AY200" i="2" s="1"/>
  <c r="AY201" i="2" s="1"/>
  <c r="AY202" i="2" s="1"/>
  <c r="AY203" i="2" s="1"/>
  <c r="AY204" i="2" s="1"/>
  <c r="AY205" i="2" s="1"/>
  <c r="AY206" i="2" s="1"/>
  <c r="AY207" i="2" s="1"/>
  <c r="AY208" i="2" s="1"/>
  <c r="AY209" i="2" s="1"/>
  <c r="AY210" i="2" s="1"/>
  <c r="AY211" i="2" s="1"/>
  <c r="AY212" i="2" s="1"/>
  <c r="AY213" i="2" s="1"/>
  <c r="AY214" i="2" s="1"/>
  <c r="AY215" i="2" s="1"/>
  <c r="AY216" i="2" s="1"/>
  <c r="AY217" i="2" s="1"/>
  <c r="AY218" i="2" s="1"/>
  <c r="AY219" i="2" s="1"/>
  <c r="AY220" i="2" s="1"/>
  <c r="AY221" i="2" s="1"/>
  <c r="AY222" i="2" s="1"/>
  <c r="AY223" i="2" s="1"/>
  <c r="AY224" i="2" s="1"/>
  <c r="AY225" i="2" s="1"/>
  <c r="AY226" i="2" s="1"/>
  <c r="AY227" i="2" s="1"/>
  <c r="AY228" i="2" s="1"/>
  <c r="AY229" i="2" s="1"/>
  <c r="AY230" i="2" s="1"/>
  <c r="AY231" i="2" s="1"/>
  <c r="AY232" i="2" s="1"/>
  <c r="AY233" i="2" s="1"/>
  <c r="AY234" i="2" s="1"/>
  <c r="AY235" i="2" s="1"/>
  <c r="AY236" i="2" s="1"/>
  <c r="AY237" i="2" s="1"/>
  <c r="AY238" i="2" s="1"/>
  <c r="AY239" i="2" s="1"/>
  <c r="AY240" i="2" s="1"/>
  <c r="AY241" i="2" s="1"/>
  <c r="AY242" i="2" s="1"/>
  <c r="AY243" i="2" s="1"/>
  <c r="AY244" i="2" s="1"/>
  <c r="AY245" i="2" s="1"/>
  <c r="AY246" i="2" s="1"/>
  <c r="P89" i="7"/>
  <c r="P87" i="7"/>
  <c r="P19" i="11"/>
  <c r="P88" i="10"/>
  <c r="P17" i="11"/>
  <c r="P81" i="10"/>
  <c r="C258" i="16"/>
  <c r="C272" i="16"/>
  <c r="C277" i="16"/>
  <c r="P106" i="11"/>
  <c r="J110" i="11"/>
  <c r="P54" i="10"/>
  <c r="C305" i="16"/>
  <c r="M65" i="1"/>
  <c r="M67" i="1" s="1"/>
  <c r="L65" i="1"/>
  <c r="L67" i="1" s="1"/>
  <c r="C283" i="16"/>
  <c r="C288" i="16"/>
  <c r="C297" i="16"/>
  <c r="B369" i="16" l="1"/>
  <c r="B370" i="16"/>
  <c r="P90" i="1" l="1"/>
  <c r="C113" i="16" l="1"/>
  <c r="C78" i="16"/>
  <c r="C97" i="16"/>
  <c r="C110" i="16"/>
  <c r="C94" i="16"/>
  <c r="C465" i="16"/>
  <c r="C81" i="16"/>
  <c r="C96" i="16" l="1"/>
  <c r="C79" i="16"/>
  <c r="C95" i="16"/>
  <c r="C112" i="16"/>
  <c r="C111" i="16"/>
  <c r="C80" i="16"/>
  <c r="C284" i="16"/>
  <c r="C294" i="16"/>
  <c r="C285" i="16"/>
  <c r="C298" i="16"/>
  <c r="C302" i="16"/>
  <c r="C289" i="16"/>
  <c r="C293" i="16"/>
  <c r="C300" i="16" l="1"/>
  <c r="C301" i="16"/>
  <c r="C299" i="16"/>
  <c r="C286" i="16"/>
  <c r="C287" i="16"/>
  <c r="C295" i="16"/>
  <c r="C296" i="16"/>
  <c r="C290" i="16"/>
  <c r="C291" i="16"/>
  <c r="C292" i="16"/>
  <c r="C247" i="16" l="1"/>
  <c r="C306" i="16"/>
  <c r="C316" i="16"/>
  <c r="C320" i="16"/>
  <c r="C365" i="16"/>
  <c r="C367" i="16"/>
  <c r="C261" i="16"/>
  <c r="C264" i="16"/>
  <c r="C257" i="16"/>
  <c r="C260" i="16"/>
  <c r="C267" i="16"/>
  <c r="C241" i="16"/>
  <c r="C466" i="16"/>
  <c r="C242" i="16"/>
  <c r="C246" i="16"/>
  <c r="C279" i="16"/>
  <c r="C268" i="16"/>
  <c r="C250" i="16"/>
  <c r="C262" i="16"/>
  <c r="C251" i="16"/>
  <c r="C244" i="16"/>
  <c r="C317" i="16"/>
  <c r="C307" i="16"/>
  <c r="C303" i="16"/>
  <c r="C473" i="16"/>
  <c r="C269" i="16"/>
  <c r="C255" i="16"/>
  <c r="C364" i="16"/>
  <c r="C248" i="16"/>
  <c r="C304" i="16"/>
  <c r="C308" i="16"/>
  <c r="C243" i="16"/>
  <c r="C276" i="16"/>
  <c r="C472" i="16"/>
  <c r="C280" i="16"/>
  <c r="C471" i="16"/>
  <c r="C273" i="16"/>
  <c r="C274" i="16"/>
  <c r="C282" i="16"/>
  <c r="C256" i="16"/>
  <c r="C474" i="16"/>
  <c r="C245" i="16"/>
  <c r="C275" i="16"/>
  <c r="C254" i="16"/>
  <c r="C265" i="16"/>
  <c r="C270" i="16"/>
  <c r="C259" i="16"/>
  <c r="C263" i="16"/>
  <c r="C312" i="16"/>
  <c r="C366" i="16"/>
  <c r="C249" i="16"/>
  <c r="C311" i="16"/>
  <c r="C315" i="16"/>
  <c r="C363" i="16"/>
  <c r="C278" i="16"/>
  <c r="C464" i="16"/>
  <c r="C240" i="16"/>
  <c r="C253" i="16"/>
  <c r="C271" i="16"/>
  <c r="C318" i="16" l="1"/>
  <c r="C319" i="16"/>
  <c r="C29" i="6"/>
  <c r="C313" i="16"/>
  <c r="C314" i="16"/>
  <c r="C309" i="16"/>
  <c r="C310" i="16"/>
  <c r="B135" i="16"/>
  <c r="B275" i="16"/>
  <c r="B147" i="16"/>
  <c r="B52" i="16"/>
  <c r="B511" i="16"/>
  <c r="B329" i="16"/>
  <c r="B397" i="16"/>
  <c r="B567" i="16"/>
  <c r="B41" i="6"/>
  <c r="B88" i="16"/>
  <c r="B171" i="16"/>
  <c r="B582" i="16"/>
  <c r="B309" i="16"/>
  <c r="B181" i="16"/>
  <c r="B565" i="16"/>
  <c r="C600" i="16"/>
  <c r="B559" i="16"/>
  <c r="B75" i="6"/>
  <c r="B169" i="16"/>
  <c r="B557" i="16"/>
  <c r="B57" i="16"/>
  <c r="B319" i="16"/>
  <c r="B302" i="16"/>
  <c r="B503" i="16"/>
  <c r="B525" i="16"/>
  <c r="B316" i="16"/>
  <c r="B191" i="16"/>
  <c r="B533" i="16"/>
  <c r="B282" i="16"/>
  <c r="B46" i="6"/>
  <c r="B401" i="16"/>
  <c r="B271" i="16"/>
  <c r="B361" i="16"/>
  <c r="B304" i="16"/>
  <c r="C548" i="16"/>
  <c r="B352" i="16"/>
  <c r="B351" i="16"/>
  <c r="B59" i="6"/>
  <c r="B54" i="6"/>
  <c r="B528" i="16"/>
  <c r="B497" i="16"/>
  <c r="B477" i="16"/>
  <c r="B414" i="16"/>
  <c r="B179" i="16"/>
  <c r="B396" i="16"/>
  <c r="B72" i="6"/>
  <c r="B518" i="16"/>
  <c r="B312" i="16"/>
  <c r="B180" i="16"/>
  <c r="B235" i="16"/>
  <c r="B50" i="6"/>
  <c r="B247" i="16"/>
  <c r="B311" i="16"/>
  <c r="B172" i="16"/>
  <c r="B512" i="16"/>
  <c r="B82" i="6"/>
  <c r="B203" i="16"/>
  <c r="B529" i="16"/>
  <c r="B380" i="16"/>
  <c r="B59" i="16"/>
  <c r="B226" i="16"/>
  <c r="B299" i="16"/>
  <c r="B206" i="16"/>
  <c r="B201" i="16"/>
  <c r="B57" i="6"/>
  <c r="B250" i="16"/>
  <c r="B595" i="16"/>
  <c r="B348" i="16"/>
  <c r="B472" i="16"/>
  <c r="B510" i="16"/>
  <c r="B36" i="6"/>
  <c r="B264" i="16"/>
  <c r="B390" i="16"/>
  <c r="B363" i="16"/>
  <c r="B376" i="16"/>
  <c r="B190" i="16"/>
  <c r="B120" i="16"/>
  <c r="B322" i="16"/>
  <c r="B103" i="16"/>
  <c r="B410" i="16"/>
  <c r="B290" i="16"/>
  <c r="B173" i="16"/>
  <c r="B499" i="16"/>
  <c r="B68" i="16"/>
  <c r="B227" i="16"/>
  <c r="B526" i="16"/>
  <c r="C601" i="16"/>
  <c r="B585" i="16"/>
  <c r="B489" i="16"/>
  <c r="B323" i="16"/>
  <c r="B48" i="6"/>
  <c r="B253" i="16"/>
  <c r="B479" i="16"/>
  <c r="B80" i="6"/>
  <c r="B242" i="16"/>
  <c r="B51" i="6"/>
  <c r="B355" i="16"/>
  <c r="B293" i="16"/>
  <c r="B202" i="16"/>
  <c r="B62" i="6"/>
  <c r="B554" i="16"/>
  <c r="B116" i="16"/>
  <c r="B145" i="16"/>
  <c r="B333" i="16"/>
  <c r="B279" i="16"/>
  <c r="B114" i="16"/>
  <c r="B488" i="16"/>
  <c r="B269" i="16"/>
  <c r="B74" i="16"/>
  <c r="B577" i="16"/>
  <c r="B331" i="16"/>
  <c r="B492" i="16"/>
  <c r="B353" i="16"/>
  <c r="B35" i="6"/>
  <c r="B464" i="16"/>
  <c r="B515" i="16"/>
  <c r="B490" i="16"/>
  <c r="B76" i="6"/>
  <c r="B255" i="16"/>
  <c r="B92" i="16"/>
  <c r="C389" i="16"/>
  <c r="B63" i="6"/>
  <c r="B576" i="16"/>
  <c r="B53" i="16"/>
  <c r="B65" i="6"/>
  <c r="B155" i="16"/>
  <c r="B366" i="16"/>
  <c r="B223" i="16"/>
  <c r="B69" i="6"/>
  <c r="B200" i="16"/>
  <c r="B365" i="16"/>
  <c r="B209" i="16"/>
  <c r="B81" i="6"/>
  <c r="B38" i="6"/>
  <c r="B70" i="6"/>
  <c r="B270" i="16"/>
  <c r="B523" i="16"/>
  <c r="B96" i="16"/>
  <c r="B164" i="16"/>
  <c r="C586" i="16"/>
  <c r="B74" i="6"/>
  <c r="B161" i="16"/>
  <c r="B517" i="16"/>
  <c r="B44" i="16"/>
  <c r="B243" i="16"/>
  <c r="B325" i="16"/>
  <c r="B314" i="16"/>
  <c r="B318" i="16"/>
  <c r="B259" i="16"/>
  <c r="B76" i="16"/>
  <c r="B487" i="16"/>
  <c r="B342" i="16"/>
  <c r="B34" i="6"/>
  <c r="B241" i="16"/>
  <c r="B118" i="16"/>
  <c r="B267" i="16"/>
  <c r="B324" i="16"/>
  <c r="B89" i="16"/>
  <c r="B496" i="16"/>
  <c r="B142" i="16"/>
  <c r="B570" i="16"/>
  <c r="B349" i="16"/>
  <c r="B375" i="16"/>
  <c r="B81" i="16"/>
  <c r="B427" i="16"/>
  <c r="B500" i="16"/>
  <c r="B63" i="16"/>
  <c r="B291" i="16"/>
  <c r="B150" i="16"/>
  <c r="B254" i="16"/>
  <c r="B104" i="16"/>
  <c r="B326" i="16"/>
  <c r="B51" i="16"/>
  <c r="B358" i="16"/>
  <c r="B513" i="16"/>
  <c r="B86" i="16"/>
  <c r="B435" i="16"/>
  <c r="B33" i="6"/>
  <c r="B124" i="16"/>
  <c r="B105" i="16"/>
  <c r="B214" i="16"/>
  <c r="B134" i="16"/>
  <c r="B350" i="16"/>
  <c r="B541" i="16"/>
  <c r="B131" i="16"/>
  <c r="B156" i="16"/>
  <c r="B354" i="16"/>
  <c r="B262" i="16"/>
  <c r="B91" i="16"/>
  <c r="B482" i="16"/>
  <c r="B581" i="16"/>
  <c r="B72" i="16"/>
  <c r="B229" i="16"/>
  <c r="B70" i="16"/>
  <c r="B60" i="6"/>
  <c r="B501" i="16"/>
  <c r="B84" i="6"/>
  <c r="B303" i="16"/>
  <c r="B146" i="16"/>
  <c r="B547" i="16"/>
  <c r="B187" i="16"/>
  <c r="B481" i="16"/>
  <c r="B402" i="16"/>
  <c r="B167" i="16"/>
  <c r="B483" i="16"/>
  <c r="B234" i="16"/>
  <c r="B411" i="16"/>
  <c r="B94" i="16"/>
  <c r="B519" i="16"/>
  <c r="B313" i="16"/>
  <c r="B224" i="16"/>
  <c r="B198" i="16"/>
  <c r="B584" i="16"/>
  <c r="B166" i="16"/>
  <c r="B415" i="16"/>
  <c r="B266" i="16"/>
  <c r="B184" i="16"/>
  <c r="B47" i="6"/>
  <c r="B296" i="16"/>
  <c r="B136" i="16"/>
  <c r="B60" i="16"/>
  <c r="B260" i="16"/>
  <c r="B244" i="16"/>
  <c r="B217" i="16"/>
  <c r="B109" i="16"/>
  <c r="C463" i="16"/>
  <c r="B197" i="16"/>
  <c r="B553" i="16"/>
  <c r="B572" i="16"/>
  <c r="B125" i="16"/>
  <c r="B334" i="16"/>
  <c r="B273" i="16"/>
  <c r="B321" i="16"/>
  <c r="B100" i="16"/>
  <c r="B536" i="16"/>
  <c r="B115" i="16"/>
  <c r="B403" i="16"/>
  <c r="B424" i="16"/>
  <c r="B178" i="16"/>
  <c r="B246" i="16"/>
  <c r="B263" i="16"/>
  <c r="B168" i="16"/>
  <c r="B364" i="16"/>
  <c r="B265" i="16"/>
  <c r="B465" i="16"/>
  <c r="B516" i="16"/>
  <c r="B261" i="16"/>
  <c r="B149" i="16"/>
  <c r="B182" i="16"/>
  <c r="B520" i="16"/>
  <c r="B78" i="16"/>
  <c r="B590" i="16"/>
  <c r="B50" i="16"/>
  <c r="B195" i="16"/>
  <c r="B160" i="16"/>
  <c r="B138" i="16"/>
  <c r="B140" i="16"/>
  <c r="B53" i="6"/>
  <c r="B44" i="6"/>
  <c r="B276" i="16"/>
  <c r="B524" i="16"/>
  <c r="C461" i="16"/>
  <c r="B335" i="16"/>
  <c r="B43" i="6"/>
  <c r="B341" i="16"/>
  <c r="B599" i="16"/>
  <c r="B307" i="16"/>
  <c r="B556" i="16"/>
  <c r="B46" i="16"/>
  <c r="B575" i="16"/>
  <c r="B85" i="6"/>
  <c r="B474" i="16"/>
  <c r="B301" i="16"/>
  <c r="B210" i="16"/>
  <c r="B165" i="16"/>
  <c r="B55" i="16"/>
  <c r="B340" i="16"/>
  <c r="B383" i="16"/>
  <c r="B289" i="16"/>
  <c r="B295" i="16"/>
  <c r="B85" i="16"/>
  <c r="B507" i="16"/>
  <c r="B598" i="16"/>
  <c r="B398" i="16"/>
  <c r="B597" i="16"/>
  <c r="B437" i="16"/>
  <c r="B64" i="16"/>
  <c r="B228" i="16"/>
  <c r="B56" i="16"/>
  <c r="B356" i="16"/>
  <c r="B87" i="16"/>
  <c r="B252" i="16"/>
  <c r="B78" i="6"/>
  <c r="B86" i="6"/>
  <c r="B208" i="16"/>
  <c r="B225" i="16"/>
  <c r="B532" i="16"/>
  <c r="B188" i="16"/>
  <c r="B473" i="16"/>
  <c r="B170" i="16"/>
  <c r="B215" i="16"/>
  <c r="B521" i="16"/>
  <c r="B148" i="16"/>
  <c r="B593" i="16"/>
  <c r="B486" i="16"/>
  <c r="B143" i="16"/>
  <c r="B505" i="16"/>
  <c r="B285" i="16"/>
  <c r="B216" i="16"/>
  <c r="B298" i="16"/>
  <c r="B248" i="16"/>
  <c r="B220" i="16"/>
  <c r="B58" i="6"/>
  <c r="B73" i="6"/>
  <c r="B300" i="16"/>
  <c r="B531" i="16"/>
  <c r="B194" i="16"/>
  <c r="B79" i="6"/>
  <c r="B71" i="16"/>
  <c r="B240" i="16"/>
  <c r="B495" i="16"/>
  <c r="B153" i="16"/>
  <c r="C462" i="16"/>
  <c r="B338" i="16"/>
  <c r="B320" i="16"/>
  <c r="B83" i="6"/>
  <c r="B154" i="16"/>
  <c r="B588" i="16"/>
  <c r="B128" i="16"/>
  <c r="B328" i="16"/>
  <c r="B56" i="6"/>
  <c r="B152" i="16"/>
  <c r="B204" i="16"/>
  <c r="B163" i="16"/>
  <c r="B71" i="6"/>
  <c r="B569" i="16"/>
  <c r="B83" i="16"/>
  <c r="B129" i="16"/>
  <c r="B573" i="16"/>
  <c r="B568" i="16"/>
  <c r="B98" i="16"/>
  <c r="B504" i="16"/>
  <c r="B429" i="16"/>
  <c r="B119" i="16"/>
  <c r="B416" i="16"/>
  <c r="B95" i="16"/>
  <c r="B436" i="16"/>
  <c r="B308" i="16"/>
  <c r="B245" i="16"/>
  <c r="B99" i="16"/>
  <c r="B211" i="16"/>
  <c r="B552" i="16"/>
  <c r="B268" i="16"/>
  <c r="B292" i="16"/>
  <c r="B54" i="16"/>
  <c r="B543" i="16"/>
  <c r="B332" i="16"/>
  <c r="B344" i="16"/>
  <c r="B79" i="16"/>
  <c r="B68" i="6"/>
  <c r="B428" i="16"/>
  <c r="C564" i="16"/>
  <c r="B256" i="16"/>
  <c r="B40" i="6"/>
  <c r="B327" i="16"/>
  <c r="B591" i="16"/>
  <c r="B111" i="16"/>
  <c r="B186" i="16"/>
  <c r="B177" i="16"/>
  <c r="B493" i="16"/>
  <c r="B522" i="16"/>
  <c r="B571" i="16"/>
  <c r="B102" i="16"/>
  <c r="B566" i="16"/>
  <c r="B42" i="6"/>
  <c r="B441" i="16"/>
  <c r="B385" i="16"/>
  <c r="B130" i="16"/>
  <c r="B379" i="16"/>
  <c r="B294" i="16"/>
  <c r="B589" i="16"/>
  <c r="B592" i="16"/>
  <c r="B367" i="16"/>
  <c r="B249" i="16"/>
  <c r="B58" i="16"/>
  <c r="B485" i="16"/>
  <c r="B280" i="16"/>
  <c r="B484" i="16"/>
  <c r="B199" i="16"/>
  <c r="B551" i="16"/>
  <c r="B274" i="16"/>
  <c r="B538" i="16"/>
  <c r="B422" i="16"/>
  <c r="B357" i="16"/>
  <c r="B382" i="16"/>
  <c r="B47" i="16"/>
  <c r="B108" i="16"/>
  <c r="B251" i="16"/>
  <c r="B347" i="16"/>
  <c r="B75" i="16"/>
  <c r="B594" i="16"/>
  <c r="B583" i="16"/>
  <c r="B207" i="16"/>
  <c r="B378" i="16"/>
  <c r="B381" i="16"/>
  <c r="B346" i="16"/>
  <c r="B84" i="16"/>
  <c r="B388" i="16"/>
  <c r="B502" i="16"/>
  <c r="B466" i="16"/>
  <c r="B218" i="16"/>
  <c r="B73" i="16"/>
  <c r="B287" i="16"/>
  <c r="B527" i="16"/>
  <c r="B110" i="16"/>
  <c r="B535" i="16"/>
  <c r="B306" i="16"/>
  <c r="B362" i="16"/>
  <c r="B97" i="16"/>
  <c r="B159" i="16"/>
  <c r="B545" i="16"/>
  <c r="C460" i="16"/>
  <c r="B480" i="16"/>
  <c r="B183" i="16"/>
  <c r="B315" i="16"/>
  <c r="B151" i="16"/>
  <c r="B371" i="16"/>
  <c r="B558" i="16"/>
  <c r="B467" i="16"/>
  <c r="B121" i="16"/>
  <c r="B549" i="16"/>
  <c r="B330" i="16"/>
  <c r="B48" i="16"/>
  <c r="B377" i="16"/>
  <c r="B442" i="16"/>
  <c r="B230" i="16"/>
  <c r="B37" i="6"/>
  <c r="B77" i="16"/>
  <c r="B550" i="16"/>
  <c r="B67" i="16"/>
  <c r="B62" i="16"/>
  <c r="B537" i="16"/>
  <c r="B343" i="16"/>
  <c r="B192" i="16"/>
  <c r="B560" i="16"/>
  <c r="B534" i="16"/>
  <c r="B77" i="6"/>
  <c r="B175" i="16"/>
  <c r="B310" i="16"/>
  <c r="B544" i="16"/>
  <c r="B562" i="16"/>
  <c r="B498" i="16"/>
  <c r="B373" i="16"/>
  <c r="B574" i="16"/>
  <c r="B112" i="16"/>
  <c r="B185" i="16"/>
  <c r="B205" i="16"/>
  <c r="B66" i="6"/>
  <c r="B281" i="16"/>
  <c r="C370" i="16"/>
  <c r="B514" i="16"/>
  <c r="B123" i="16"/>
  <c r="B117" i="16"/>
  <c r="B468" i="16"/>
  <c r="B133" i="16"/>
  <c r="B317" i="16"/>
  <c r="B491" i="16"/>
  <c r="B189" i="16"/>
  <c r="B101" i="16"/>
  <c r="B478" i="16"/>
  <c r="B196" i="16"/>
  <c r="B542" i="16"/>
  <c r="B69" i="16"/>
  <c r="B286" i="16"/>
  <c r="B132" i="16"/>
  <c r="B233" i="16"/>
  <c r="B470" i="16"/>
  <c r="B423" i="16"/>
  <c r="B587" i="16"/>
  <c r="B539" i="16"/>
  <c r="B278" i="16"/>
  <c r="B471" i="16"/>
  <c r="B193" i="16"/>
  <c r="B257" i="16"/>
  <c r="B509" i="16"/>
  <c r="B67" i="6"/>
  <c r="B64" i="6"/>
  <c r="B494" i="16"/>
  <c r="B139" i="16"/>
  <c r="B540" i="16"/>
  <c r="B49" i="6"/>
  <c r="B82" i="16"/>
  <c r="C368" i="16"/>
  <c r="B384" i="16"/>
  <c r="B372" i="16"/>
  <c r="B45" i="6"/>
  <c r="B65" i="16"/>
  <c r="B596" i="16"/>
  <c r="B55" i="6"/>
  <c r="B32" i="6"/>
  <c r="B360" i="16"/>
  <c r="B39" i="6"/>
  <c r="B336" i="16"/>
  <c r="B137" i="16"/>
  <c r="B409" i="16"/>
  <c r="B546" i="16"/>
  <c r="B61" i="16"/>
  <c r="B176" i="16"/>
  <c r="B530" i="16"/>
  <c r="B113" i="16"/>
  <c r="B359" i="16"/>
  <c r="B374" i="16"/>
  <c r="B440" i="16"/>
  <c r="B508" i="16"/>
  <c r="B80" i="16"/>
  <c r="B162" i="16"/>
  <c r="B174" i="16"/>
  <c r="B52" i="6"/>
  <c r="B144" i="16"/>
  <c r="B337" i="16"/>
  <c r="B66" i="16"/>
  <c r="B555" i="16"/>
  <c r="B506" i="16"/>
  <c r="B284" i="16"/>
  <c r="B107" i="16"/>
  <c r="B561" i="16"/>
  <c r="B93" i="16"/>
  <c r="B469" i="16"/>
  <c r="B61" i="6"/>
  <c r="C369" i="16" l="1"/>
  <c r="C61" i="6"/>
  <c r="C176" i="16"/>
  <c r="C494" i="16"/>
  <c r="C66" i="6"/>
  <c r="C442" i="16"/>
  <c r="C346" i="16"/>
  <c r="C441" i="16"/>
  <c r="C54" i="16"/>
  <c r="C128" i="16"/>
  <c r="C58" i="6"/>
  <c r="C437" i="16"/>
  <c r="C44" i="6"/>
  <c r="C572" i="16"/>
  <c r="C411" i="16"/>
  <c r="C156" i="16"/>
  <c r="C86" i="16"/>
  <c r="C487" i="16"/>
  <c r="C230" i="16"/>
  <c r="C35" i="6"/>
  <c r="C48" i="6"/>
  <c r="C510" i="16"/>
  <c r="C172" i="16"/>
  <c r="C533" i="16"/>
  <c r="C147" i="16"/>
  <c r="C353" i="16"/>
  <c r="C323" i="16"/>
  <c r="C348" i="16"/>
  <c r="C50" i="6"/>
  <c r="C525" i="16"/>
  <c r="C109" i="16"/>
  <c r="C325" i="16"/>
  <c r="C492" i="16"/>
  <c r="C489" i="16"/>
  <c r="C595" i="16"/>
  <c r="C180" i="16"/>
  <c r="C503" i="16"/>
  <c r="C518" i="16"/>
  <c r="C557" i="16"/>
  <c r="C571" i="16"/>
  <c r="C138" i="16"/>
  <c r="C526" i="16"/>
  <c r="C72" i="6"/>
  <c r="C334" i="16"/>
  <c r="C281" i="16"/>
  <c r="C226" i="16"/>
  <c r="C469" i="16"/>
  <c r="C61" i="16"/>
  <c r="C64" i="6"/>
  <c r="C185" i="16"/>
  <c r="C48" i="16"/>
  <c r="C583" i="16"/>
  <c r="C42" i="6"/>
  <c r="C552" i="16"/>
  <c r="C134" i="16"/>
  <c r="C505" i="16"/>
  <c r="C597" i="16"/>
  <c r="C53" i="6"/>
  <c r="C553" i="16"/>
  <c r="C483" i="16"/>
  <c r="C541" i="16"/>
  <c r="C513" i="16"/>
  <c r="C76" i="16"/>
  <c r="C232" i="16"/>
  <c r="C135" i="16"/>
  <c r="C160" i="16"/>
  <c r="C167" i="16"/>
  <c r="C350" i="16"/>
  <c r="C358" i="16"/>
  <c r="C223" i="16"/>
  <c r="C507" i="16"/>
  <c r="C216" i="16"/>
  <c r="C169" i="16"/>
  <c r="C584" i="16"/>
  <c r="C225" i="16"/>
  <c r="C93" i="16"/>
  <c r="C546" i="16"/>
  <c r="C67" i="6"/>
  <c r="C574" i="16"/>
  <c r="C549" i="16"/>
  <c r="C594" i="16"/>
  <c r="C566" i="16"/>
  <c r="C436" i="16"/>
  <c r="C133" i="16"/>
  <c r="C143" i="16"/>
  <c r="C398" i="16"/>
  <c r="C561" i="16"/>
  <c r="C409" i="16"/>
  <c r="C539" i="16"/>
  <c r="C373" i="16"/>
  <c r="C121" i="16"/>
  <c r="C75" i="16"/>
  <c r="C102" i="16"/>
  <c r="C416" i="16"/>
  <c r="C132" i="16"/>
  <c r="C486" i="16"/>
  <c r="C598" i="16"/>
  <c r="C50" i="16"/>
  <c r="C60" i="16"/>
  <c r="C402" i="16"/>
  <c r="C221" i="16"/>
  <c r="C51" i="16"/>
  <c r="C44" i="16"/>
  <c r="C224" i="16"/>
  <c r="C331" i="16"/>
  <c r="C585" i="16"/>
  <c r="C57" i="6"/>
  <c r="C588" i="16"/>
  <c r="C517" i="16"/>
  <c r="C577" i="16"/>
  <c r="C208" i="16"/>
  <c r="C401" i="16"/>
  <c r="C388" i="16"/>
  <c r="C107" i="16"/>
  <c r="C39" i="6"/>
  <c r="C587" i="16"/>
  <c r="C562" i="16"/>
  <c r="C558" i="16"/>
  <c r="C347" i="16"/>
  <c r="C119" i="16"/>
  <c r="C593" i="16"/>
  <c r="C590" i="16"/>
  <c r="C481" i="16"/>
  <c r="C326" i="16"/>
  <c r="C231" i="16"/>
  <c r="C479" i="16"/>
  <c r="C506" i="16"/>
  <c r="C360" i="16"/>
  <c r="C423" i="16"/>
  <c r="C544" i="16"/>
  <c r="C371" i="16"/>
  <c r="C108" i="16"/>
  <c r="C522" i="16"/>
  <c r="C429" i="16"/>
  <c r="C154" i="16"/>
  <c r="C521" i="16"/>
  <c r="C383" i="16"/>
  <c r="C520" i="16"/>
  <c r="C141" i="16"/>
  <c r="C187" i="16"/>
  <c r="C214" i="16"/>
  <c r="C104" i="16"/>
  <c r="C161" i="16"/>
  <c r="C229" i="16"/>
  <c r="C74" i="16"/>
  <c r="C68" i="16"/>
  <c r="C212" i="16"/>
  <c r="C396" i="16"/>
  <c r="C75" i="6"/>
  <c r="C559" i="16"/>
  <c r="C171" i="16"/>
  <c r="C88" i="16"/>
  <c r="C531" i="16"/>
  <c r="C543" i="16"/>
  <c r="C435" i="16"/>
  <c r="C46" i="6"/>
  <c r="C555" i="16"/>
  <c r="C32" i="6"/>
  <c r="C470" i="16"/>
  <c r="C175" i="16"/>
  <c r="C183" i="16"/>
  <c r="C357" i="16"/>
  <c r="C493" i="16"/>
  <c r="C504" i="16"/>
  <c r="C83" i="6"/>
  <c r="C170" i="16"/>
  <c r="C340" i="16"/>
  <c r="C182" i="16"/>
  <c r="C136" i="16"/>
  <c r="C547" i="16"/>
  <c r="C215" i="16"/>
  <c r="C63" i="16"/>
  <c r="C74" i="6"/>
  <c r="C227" i="16"/>
  <c r="C488" i="16"/>
  <c r="C499" i="16"/>
  <c r="C206" i="16"/>
  <c r="C179" i="16"/>
  <c r="C103" i="16"/>
  <c r="C528" i="16"/>
  <c r="C59" i="6"/>
  <c r="C56" i="16"/>
  <c r="C73" i="6"/>
  <c r="C511" i="16"/>
  <c r="C66" i="16"/>
  <c r="C55" i="6"/>
  <c r="C542" i="16"/>
  <c r="C77" i="6"/>
  <c r="C480" i="16"/>
  <c r="C422" i="16"/>
  <c r="C177" i="16"/>
  <c r="C98" i="16"/>
  <c r="C153" i="16"/>
  <c r="C188" i="16"/>
  <c r="C55" i="16"/>
  <c r="C516" i="16"/>
  <c r="C137" i="16"/>
  <c r="C146" i="16"/>
  <c r="C222" i="16"/>
  <c r="C500" i="16"/>
  <c r="C164" i="16"/>
  <c r="C155" i="16"/>
  <c r="C114" i="16"/>
  <c r="C173" i="16"/>
  <c r="C211" i="16"/>
  <c r="C414" i="16"/>
  <c r="C565" i="16"/>
  <c r="C84" i="6"/>
  <c r="C218" i="16"/>
  <c r="C427" i="16"/>
  <c r="C523" i="16"/>
  <c r="C65" i="6"/>
  <c r="C410" i="16"/>
  <c r="C477" i="16"/>
  <c r="C181" i="16"/>
  <c r="C184" i="16"/>
  <c r="C501" i="16"/>
  <c r="C375" i="16"/>
  <c r="C70" i="6"/>
  <c r="C145" i="16"/>
  <c r="C582" i="16"/>
  <c r="C332" i="16"/>
  <c r="C490" i="16"/>
  <c r="C530" i="16"/>
  <c r="C519" i="16"/>
  <c r="C36" i="6"/>
  <c r="C144" i="16"/>
  <c r="C596" i="16"/>
  <c r="C478" i="16"/>
  <c r="C534" i="16"/>
  <c r="C545" i="16"/>
  <c r="C538" i="16"/>
  <c r="C186" i="16"/>
  <c r="C568" i="16"/>
  <c r="C495" i="16"/>
  <c r="C532" i="16"/>
  <c r="C165" i="16"/>
  <c r="C168" i="16"/>
  <c r="C47" i="6"/>
  <c r="C333" i="16"/>
  <c r="C210" i="16"/>
  <c r="C53" i="16"/>
  <c r="C209" i="16"/>
  <c r="C80" i="6"/>
  <c r="C125" i="16"/>
  <c r="C52" i="6"/>
  <c r="C65" i="16"/>
  <c r="C189" i="16"/>
  <c r="C560" i="16"/>
  <c r="C159" i="16"/>
  <c r="C551" i="16"/>
  <c r="C591" i="16"/>
  <c r="C573" i="16"/>
  <c r="C498" i="16"/>
  <c r="C86" i="6"/>
  <c r="C85" i="6"/>
  <c r="C178" i="16"/>
  <c r="C220" i="16"/>
  <c r="C33" i="6"/>
  <c r="C129" i="16"/>
  <c r="C174" i="16"/>
  <c r="C45" i="6"/>
  <c r="C491" i="16"/>
  <c r="C537" i="16"/>
  <c r="C362" i="16"/>
  <c r="C484" i="16"/>
  <c r="C327" i="16"/>
  <c r="C569" i="16"/>
  <c r="C497" i="16"/>
  <c r="C78" i="6"/>
  <c r="C575" i="16"/>
  <c r="C424" i="16"/>
  <c r="C266" i="16"/>
  <c r="C60" i="6"/>
  <c r="C219" i="16"/>
  <c r="C570" i="16"/>
  <c r="C38" i="6"/>
  <c r="C576" i="16"/>
  <c r="C554" i="16"/>
  <c r="C322" i="16"/>
  <c r="C213" i="16"/>
  <c r="C54" i="6"/>
  <c r="C43" i="6"/>
  <c r="C82" i="6"/>
  <c r="C385" i="16"/>
  <c r="C354" i="16"/>
  <c r="C512" i="16"/>
  <c r="C162" i="16"/>
  <c r="C372" i="16"/>
  <c r="C468" i="16"/>
  <c r="C62" i="16"/>
  <c r="C535" i="16"/>
  <c r="C485" i="16"/>
  <c r="C40" i="6"/>
  <c r="C71" i="6"/>
  <c r="C496" i="16"/>
  <c r="C252" i="16"/>
  <c r="C46" i="16"/>
  <c r="C403" i="16"/>
  <c r="C415" i="16"/>
  <c r="C72" i="16"/>
  <c r="C217" i="16"/>
  <c r="C142" i="16"/>
  <c r="C81" i="6"/>
  <c r="C63" i="6"/>
  <c r="C62" i="6"/>
  <c r="C120" i="16"/>
  <c r="C207" i="16"/>
  <c r="C397" i="16"/>
  <c r="C37" i="6"/>
  <c r="C508" i="16"/>
  <c r="C384" i="16"/>
  <c r="C123" i="16"/>
  <c r="C67" i="16"/>
  <c r="C527" i="16"/>
  <c r="C58" i="16"/>
  <c r="C428" i="16"/>
  <c r="C163" i="16"/>
  <c r="C71" i="16"/>
  <c r="C87" i="16"/>
  <c r="C556" i="16"/>
  <c r="C536" i="16"/>
  <c r="C166" i="16"/>
  <c r="C581" i="16"/>
  <c r="C105" i="16"/>
  <c r="C89" i="16"/>
  <c r="C69" i="6"/>
  <c r="C92" i="16"/>
  <c r="C355" i="16"/>
  <c r="C190" i="16"/>
  <c r="C59" i="16"/>
  <c r="C352" i="16"/>
  <c r="C41" i="6"/>
  <c r="C482" i="16"/>
  <c r="C228" i="16"/>
  <c r="C51" i="6"/>
  <c r="C49" i="6"/>
  <c r="C77" i="16"/>
  <c r="C502" i="16"/>
  <c r="C589" i="16"/>
  <c r="C328" i="16"/>
  <c r="C91" i="16"/>
  <c r="C118" i="16"/>
  <c r="C390" i="16"/>
  <c r="C540" i="16"/>
  <c r="C524" i="16"/>
  <c r="C515" i="16"/>
  <c r="C440" i="16"/>
  <c r="C82" i="16"/>
  <c r="C514" i="16"/>
  <c r="C550" i="16"/>
  <c r="C73" i="16"/>
  <c r="C592" i="16"/>
  <c r="C68" i="6"/>
  <c r="C56" i="6"/>
  <c r="C79" i="6"/>
  <c r="C356" i="16"/>
  <c r="C599" i="16"/>
  <c r="C321" i="16"/>
  <c r="C193" i="16"/>
  <c r="C124" i="16"/>
  <c r="C324" i="16"/>
  <c r="C76" i="6"/>
  <c r="C376" i="16"/>
  <c r="C529" i="16"/>
  <c r="C361" i="16"/>
  <c r="C567" i="16"/>
  <c r="C374" i="16"/>
  <c r="C64" i="16"/>
  <c r="C34" i="6"/>
  <c r="C380" i="16" l="1"/>
  <c r="C382" i="16"/>
  <c r="C238" i="16"/>
  <c r="C235" i="16"/>
  <c r="C127" i="16"/>
  <c r="C157" i="16"/>
  <c r="C126" i="16"/>
  <c r="C57" i="16"/>
  <c r="C122" i="16"/>
  <c r="C47" i="16"/>
  <c r="C378" i="16"/>
  <c r="C131" i="16"/>
  <c r="C130" i="16"/>
  <c r="C192" i="16"/>
  <c r="C234" i="16" s="1"/>
  <c r="C381" i="16"/>
  <c r="C191" i="16"/>
  <c r="C233" i="16" s="1"/>
  <c r="C158" i="16" s="1"/>
  <c r="C90" i="16"/>
  <c r="C106" i="16"/>
  <c r="C377" i="16"/>
  <c r="C52" i="16"/>
  <c r="C151" i="16"/>
  <c r="C148" i="16"/>
  <c r="C150" i="16"/>
  <c r="C149" i="16"/>
  <c r="C152" i="16"/>
  <c r="C379" i="16"/>
  <c r="C49" i="16"/>
  <c r="C140" i="16"/>
  <c r="C139" i="16"/>
  <c r="C84" i="16"/>
  <c r="C343" i="16"/>
  <c r="C338" i="16"/>
  <c r="C100" i="16"/>
  <c r="C341" i="16"/>
  <c r="C339" i="16"/>
  <c r="C83" i="16"/>
  <c r="C345" i="16"/>
  <c r="C336" i="16"/>
  <c r="C99" i="16"/>
  <c r="C344" i="16"/>
  <c r="C115" i="16"/>
  <c r="C351" i="16"/>
  <c r="C204" i="16" a="1"/>
  <c r="C198" i="16"/>
  <c r="C203" i="16" a="1"/>
  <c r="C509" i="16"/>
  <c r="C359" i="16"/>
  <c r="C349" i="16"/>
  <c r="C200" i="16" a="1"/>
  <c r="C201" i="16" a="1"/>
  <c r="C329" i="16"/>
  <c r="C69" i="16"/>
  <c r="C335" i="16"/>
  <c r="C195" i="16"/>
  <c r="C85" i="16"/>
  <c r="C116" i="16"/>
  <c r="C330" i="16"/>
  <c r="C70" i="16"/>
  <c r="C117" i="16"/>
  <c r="C342" i="16"/>
  <c r="C337" i="16"/>
  <c r="C101" i="16"/>
  <c r="C194" i="16" l="1"/>
  <c r="C196" i="16"/>
  <c r="C201" i="16"/>
  <c r="C200" i="16"/>
  <c r="C202" i="16" s="1"/>
  <c r="C203" i="16"/>
  <c r="C205" i="16" s="1"/>
  <c r="C197" i="16"/>
  <c r="C199" i="16"/>
  <c r="C204" i="16"/>
  <c r="C237" i="16"/>
  <c r="C2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Zofnass</author>
  </authors>
  <commentList>
    <comment ref="F41" authorId="0" shapeId="0" xr:uid="{3E0E0BB4-1072-49F4-B3FD-69258AA14983}">
      <text>
        <r>
          <rPr>
            <sz val="11"/>
            <color indexed="81"/>
            <rFont val="Tahoma"/>
            <family val="2"/>
          </rPr>
          <t>Notes will contain additional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6" authorId="0" shapeId="0" xr:uid="{16F5CE6F-1DE9-426C-8512-C3DFF12C73B4}">
      <text>
        <r>
          <rPr>
            <sz val="10"/>
            <color indexed="81"/>
            <rFont val="Calibri"/>
            <family val="2"/>
          </rPr>
          <t>If you are filling in the survey for a division of a larger organization, please specify.</t>
        </r>
      </text>
    </comment>
    <comment ref="H6" authorId="0" shapeId="0" xr:uid="{ACE21784-786D-4AFA-8EC7-6222E3E91DDA}">
      <text>
        <r>
          <rPr>
            <sz val="10"/>
            <color indexed="81"/>
            <rFont val="Calibri"/>
            <family val="2"/>
          </rPr>
          <t>Use the location of primary corporate HQ.</t>
        </r>
      </text>
    </comment>
    <comment ref="D8" authorId="0" shapeId="0" xr:uid="{E6EBEBD4-F1E7-4E9D-AA54-16FC9AA43497}">
      <text>
        <r>
          <rPr>
            <sz val="10"/>
            <color indexed="81"/>
            <rFont val="Calibri"/>
            <family val="2"/>
          </rPr>
          <t xml:space="preserve">Please be consistent throughout the survey in using </t>
        </r>
        <r>
          <rPr>
            <b/>
            <sz val="10"/>
            <color indexed="81"/>
            <rFont val="Calibri"/>
            <family val="2"/>
          </rPr>
          <t>only</t>
        </r>
        <r>
          <rPr>
            <sz val="10"/>
            <color indexed="81"/>
            <rFont val="Calibri"/>
            <family val="2"/>
          </rPr>
          <t xml:space="preserve"> the currency selected here.</t>
        </r>
      </text>
    </comment>
    <comment ref="D10" authorId="0" shapeId="0" xr:uid="{16C37F37-46BA-4769-8404-AF4B11EB7C1D}">
      <text>
        <r>
          <rPr>
            <sz val="10"/>
            <color indexed="81"/>
            <rFont val="Calibri"/>
            <family val="2"/>
          </rPr>
          <t>If FYE is between April and August, please approximate your "calendarized" (January - December) data below.</t>
        </r>
      </text>
    </comment>
    <comment ref="G12" authorId="0" shapeId="0" xr:uid="{49F0CFBA-2D48-4207-B500-5F53ECA33FD1}">
      <text>
        <r>
          <rPr>
            <sz val="10"/>
            <color indexed="81"/>
            <rFont val="Calibri"/>
            <family val="2"/>
          </rPr>
          <t>For private only - otherwise, select "N/A"</t>
        </r>
      </text>
    </comment>
    <comment ref="D14" authorId="0" shapeId="0" xr:uid="{F080AE8D-CC16-4A87-A13A-B07C70CAAF29}">
      <text>
        <r>
          <rPr>
            <sz val="10"/>
            <color indexed="81"/>
            <rFont val="Calibri"/>
            <family val="2"/>
          </rPr>
          <t>Please enter contact information for the person submitting/completing the survey form.</t>
        </r>
      </text>
    </comment>
    <comment ref="D26" authorId="0" shapeId="0" xr:uid="{4C211CEC-5E71-490E-9F67-C24279BD04F0}">
      <text>
        <r>
          <rPr>
            <sz val="10"/>
            <color indexed="81"/>
            <rFont val="Calibri"/>
            <family val="2"/>
          </rPr>
          <t>Net Revenues = Gross Revenues - (Subcontractor Costs + Reimbursable Expenses + Profit from "Pass-Throughs")</t>
        </r>
      </text>
    </comment>
    <comment ref="D30" authorId="0" shapeId="0" xr:uid="{77F2BA2E-93CD-485B-86EC-B0BA77E49738}">
      <text>
        <r>
          <rPr>
            <sz val="10"/>
            <color indexed="81"/>
            <rFont val="Calibri"/>
            <family val="2"/>
          </rPr>
          <t>Excluding acquisitions, divestitures, discontinued operations, and FX fluctuations. 
E.g., in the absence of acquisitions, it should be equal to Net Revenue Growth Rate (%)</t>
        </r>
      </text>
    </comment>
    <comment ref="M33" authorId="0" shapeId="0" xr:uid="{73D59665-EA73-4DB3-82D6-E0C77367FE9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35" authorId="0" shapeId="0" xr:uid="{368CADAD-7FF8-4C65-BCC3-0B2B885D0356}">
      <text>
        <r>
          <rPr>
            <sz val="10"/>
            <color indexed="81"/>
            <rFont val="Calibri"/>
            <family val="2"/>
          </rPr>
          <t>For example, if projections were $100 and actuals were $90, variance would be -10%.</t>
        </r>
      </text>
    </comment>
    <comment ref="I35" authorId="0" shapeId="0" xr:uid="{E15F54FD-A06C-4FE5-AB49-CAD21ADC3EEA}">
      <text>
        <r>
          <rPr>
            <sz val="10"/>
            <color indexed="81"/>
            <rFont val="Calibri"/>
            <family val="2"/>
          </rPr>
          <t>For example, if current backlog is $110 and backlog 1 year ago was $100, variance would be +10%.
"Hard Backlog" is defined as contracted or funded amounts for existing projects only.</t>
        </r>
      </text>
    </comment>
    <comment ref="I38" authorId="0" shapeId="0" xr:uid="{068A5A17-62AF-49E8-B8A6-279DFEF9853E}">
      <text>
        <r>
          <rPr>
            <sz val="10"/>
            <color indexed="81"/>
            <rFont val="Calibri"/>
            <family val="2"/>
          </rPr>
          <t>"Months of Backlog" = 12 x (Current $ of Backlog / Prior Year's Net Revenues)
"Hard Backlog" is defined as contracted or funded amounts for existing projects only.</t>
        </r>
      </text>
    </comment>
    <comment ref="D47" authorId="0" shapeId="0" xr:uid="{3B504D61-341B-4ECF-AD4B-C8D6702E7DA1}">
      <text>
        <r>
          <rPr>
            <sz val="10"/>
            <color indexed="81"/>
            <rFont val="Calibri"/>
            <family val="2"/>
          </rPr>
          <t>Earnings Before Interest, Bonus, ESOP Contributions, and Tax</t>
        </r>
      </text>
    </comment>
    <comment ref="K49" authorId="0" shapeId="0" xr:uid="{F6563850-51F1-4EFD-998F-84FC0CE359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49" authorId="0" shapeId="0" xr:uid="{D47FE772-4BDB-4DE6-945F-2136A81F4FA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49" authorId="0" shapeId="0" xr:uid="{F4088BB8-BBAA-42F4-9D51-B6902050496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3" authorId="0" shapeId="0" xr:uid="{A932E396-132C-42FC-8115-5666C8E45938}">
      <text>
        <r>
          <rPr>
            <sz val="10"/>
            <color indexed="81"/>
            <rFont val="Calibri"/>
            <family val="2"/>
          </rPr>
          <t>Earnings Before Interest, Bonus, and Tax</t>
        </r>
      </text>
    </comment>
    <comment ref="K55" authorId="0" shapeId="0" xr:uid="{E77205B1-FD98-4163-B34A-D43C4C88D742}">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55" authorId="0" shapeId="0" xr:uid="{0F122914-6250-4EC1-ACFB-6BF320DAD739}">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55" authorId="0" shapeId="0" xr:uid="{86C2096D-4ED1-4DFE-B820-CBD30F1F2F97}">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7" authorId="0" shapeId="0" xr:uid="{C1C86EB9-A9A1-408E-928F-111F133C5C63}">
      <text>
        <r>
          <rPr>
            <sz val="10"/>
            <color indexed="81"/>
            <rFont val="Calibri"/>
            <family val="2"/>
          </rPr>
          <t>Stock and/or cash "earmarked for stock purchase.</t>
        </r>
      </text>
    </comment>
    <comment ref="D65" authorId="0" shapeId="0" xr:uid="{15B98091-D043-494D-AD42-12FDB286EDE6}">
      <text>
        <r>
          <rPr>
            <sz val="10"/>
            <color indexed="81"/>
            <rFont val="Calibri"/>
            <family val="2"/>
          </rPr>
          <t>Earnings Before Interest and Tax
(</t>
        </r>
        <r>
          <rPr>
            <i/>
            <sz val="10"/>
            <color indexed="81"/>
            <rFont val="Calibri"/>
            <family val="2"/>
          </rPr>
          <t>Calculated if EBIBT and Bonus expense both entered.)</t>
        </r>
      </text>
    </comment>
    <comment ref="D67" authorId="0" shapeId="0" xr:uid="{AA4A3269-130C-47BF-B9EF-5B8ECD877293}">
      <text>
        <r>
          <rPr>
            <sz val="10"/>
            <color indexed="81"/>
            <rFont val="Calibri"/>
            <family val="2"/>
          </rPr>
          <t xml:space="preserve">Earnings Before Interest, Tax, Depreciation, and Amortization
</t>
        </r>
        <r>
          <rPr>
            <i/>
            <sz val="10"/>
            <color indexed="81"/>
            <rFont val="Calibri"/>
            <family val="2"/>
          </rPr>
          <t>(Calculated if EBIT is calculated AND either Deprec. or Amort. Expense is entered.)</t>
        </r>
      </text>
    </comment>
    <comment ref="D76" authorId="0" shapeId="0" xr:uid="{8AD3A20E-27C2-4E9D-B2D1-F29CF22936E1}">
      <text>
        <r>
          <rPr>
            <sz val="10"/>
            <color indexed="81"/>
            <rFont val="Calibri"/>
            <family val="2"/>
          </rPr>
          <t>If you cannot estimate the average, please provide a mid-year balance sheet that you think represents “normal” for your firm.</t>
        </r>
      </text>
    </comment>
    <comment ref="J80" authorId="0" shapeId="0" xr:uid="{777B67C8-C692-439A-87E5-96F39EEFBF98}">
      <text>
        <r>
          <rPr>
            <sz val="10"/>
            <color indexed="81"/>
            <rFont val="Calibri"/>
            <family val="2"/>
          </rPr>
          <t>Includes Billings in Excess, Deferred Revenue, Accrued Bonuses &amp; other current liabilities.</t>
        </r>
      </text>
    </comment>
    <comment ref="J81" authorId="0" shapeId="0" xr:uid="{CF6840FD-470F-454F-BA5B-CA6B2CCEF7FE}">
      <text>
        <r>
          <rPr>
            <sz val="10"/>
            <color indexed="81"/>
            <rFont val="Calibri"/>
            <family val="2"/>
          </rPr>
          <t>Related to working capital.</t>
        </r>
      </text>
    </comment>
    <comment ref="J83" authorId="0" shapeId="0" xr:uid="{2C219654-3186-4C02-9DE5-E7DE461072F6}">
      <text>
        <r>
          <rPr>
            <sz val="10"/>
            <color indexed="81"/>
            <rFont val="Calibri"/>
            <family val="2"/>
          </rPr>
          <t>Includes bank mortgages, capital leases, etc.</t>
        </r>
      </text>
    </comment>
    <comment ref="E85" authorId="0" shapeId="0" xr:uid="{C5B2C44C-486B-4691-B473-D0284A94DCA4}">
      <text>
        <r>
          <rPr>
            <sz val="10"/>
            <color indexed="81"/>
            <rFont val="Calibri"/>
            <family val="2"/>
          </rPr>
          <t>For example, goodwill.</t>
        </r>
      </text>
    </comment>
    <comment ref="J85" authorId="0" shapeId="0" xr:uid="{ECE6936B-AAAE-412A-9813-04B754153CAE}">
      <text>
        <r>
          <rPr>
            <sz val="10"/>
            <color indexed="81"/>
            <rFont val="Calibri"/>
            <family val="2"/>
          </rPr>
          <t>Include Operating Lease Liabilities only. Capital / Finance Lease Liabilities should be entered in Debt</t>
        </r>
      </text>
    </comment>
    <comment ref="J86" authorId="0" shapeId="0" xr:uid="{6BD5152B-9021-49B3-9FD0-F1E3AF55D30A}">
      <text>
        <r>
          <rPr>
            <sz val="10"/>
            <color indexed="81"/>
            <rFont val="Calibri"/>
            <family val="2"/>
          </rPr>
          <t>Non-current only.
Please enter other current liabilities in "Accounts Payable and Accrued Expenses".</t>
        </r>
      </text>
    </comment>
    <comment ref="E87" authorId="0" shapeId="0" xr:uid="{2D24415F-54B8-4F7B-AA27-6DD206AD80C3}">
      <text>
        <r>
          <rPr>
            <sz val="10"/>
            <color indexed="81"/>
            <rFont val="Calibri"/>
            <family val="2"/>
          </rPr>
          <t>Current and non-current.Include any Deferred Tax Assets here.</t>
        </r>
      </text>
    </comment>
    <comment ref="D99" authorId="0" shapeId="0" xr:uid="{CF7BC7AE-AB5E-4F87-AA3C-F0692250ED35}">
      <text>
        <r>
          <rPr>
            <sz val="10"/>
            <color indexed="81"/>
            <rFont val="Calibri"/>
            <family val="2"/>
          </rPr>
          <t>As a decimal (e.g., 1x, 2.35x, etc.).</t>
        </r>
      </text>
    </comment>
    <comment ref="M99" authorId="0" shapeId="0" xr:uid="{97F87A17-F0FE-4CA0-884C-5C508BAEADE7}">
      <text>
        <r>
          <rPr>
            <sz val="10"/>
            <color indexed="81"/>
            <rFont val="Calibri"/>
            <family val="2"/>
          </rPr>
          <t>= Equity Book Value * Multiple</t>
        </r>
      </text>
    </comment>
    <comment ref="D103" authorId="0" shapeId="0" xr:uid="{9CFB8FCF-2481-4B8D-97D3-D536553C993A}">
      <text>
        <r>
          <rPr>
            <sz val="10"/>
            <color indexed="81"/>
            <rFont val="Calibri"/>
            <family val="2"/>
          </rPr>
          <t>If your firm does not split out discount rate as shown, please enter just the total discount rate and leave the breakout blank.</t>
        </r>
      </text>
    </comment>
    <comment ref="D118" authorId="0" shapeId="0" xr:uid="{38F573E7-17ED-4D57-A954-CEE6A856931E}">
      <text>
        <r>
          <rPr>
            <sz val="10"/>
            <color indexed="81"/>
            <rFont val="Calibri"/>
            <family val="2"/>
          </rPr>
          <t xml:space="preserve">Total Hours Billed to Client refers to the sum of all billable hours actually charged to clients for the relevant </t>
        </r>
        <r>
          <rPr>
            <u/>
            <sz val="10"/>
            <color indexed="81"/>
            <rFont val="Calibri"/>
            <family val="2"/>
          </rPr>
          <t>professional</t>
        </r>
        <r>
          <rPr>
            <sz val="10"/>
            <color indexed="81"/>
            <rFont val="Calibri"/>
            <family val="2"/>
          </rPr>
          <t xml:space="preserve"> employees (engineers, scientists, etc.) during the fiscal year.</t>
        </r>
        <r>
          <rPr>
            <b/>
            <sz val="10"/>
            <color indexed="81"/>
            <rFont val="Calibri"/>
            <family val="2"/>
          </rPr>
          <t xml:space="preserve">
</t>
        </r>
        <r>
          <rPr>
            <sz val="10"/>
            <color indexed="81"/>
            <rFont val="Calibri"/>
            <family val="2"/>
          </rPr>
          <t>Total Available Hours refers to the maximum possible sum of billable hours for the relevant employees (in other words, the number of hours that would be billed at "full" capacity).</t>
        </r>
        <r>
          <rPr>
            <b/>
            <sz val="10"/>
            <color indexed="81"/>
            <rFont val="Calibri"/>
            <family val="2"/>
          </rPr>
          <t xml:space="preserve"> For the purposes of this survey, Total Available Hours should not include PTO, vacation or sick / unpaid leave.</t>
        </r>
      </text>
    </comment>
    <comment ref="K118" authorId="0" shapeId="0" xr:uid="{E0D06E4E-A23A-4640-B9DF-140F9F0D209B}">
      <text>
        <r>
          <rPr>
            <b/>
            <u/>
            <sz val="10"/>
            <color indexed="81"/>
            <rFont val="Calibri"/>
            <family val="2"/>
          </rPr>
          <t>Professional employees</t>
        </r>
        <r>
          <rPr>
            <sz val="10"/>
            <color indexed="81"/>
            <rFont val="Calibri"/>
            <family val="2"/>
          </rPr>
          <t xml:space="preserve"> include exempt / and non-exempt engineers, scientists, architects, construction managers, executives and overhead staff who work 30 or more hours per week. </t>
        </r>
        <r>
          <rPr>
            <b/>
            <sz val="10"/>
            <color indexed="81"/>
            <rFont val="Calibri"/>
            <family val="2"/>
          </rPr>
          <t xml:space="preserve">
</t>
        </r>
        <r>
          <rPr>
            <b/>
            <u/>
            <sz val="10"/>
            <color indexed="81"/>
            <rFont val="Calibri"/>
            <family val="2"/>
          </rPr>
          <t>Non-professional employees</t>
        </r>
        <r>
          <rPr>
            <sz val="10"/>
            <color indexed="81"/>
            <rFont val="Calibri"/>
            <family val="2"/>
          </rPr>
          <t xml:space="preserve"> include exempt / and non-exempt office clerks, technicians, and construction craft workers who work less than 30 hours per week. </t>
        </r>
        <r>
          <rPr>
            <b/>
            <sz val="10"/>
            <color indexed="81"/>
            <rFont val="Calibri"/>
            <family val="2"/>
          </rPr>
          <t xml:space="preserve">
</t>
        </r>
        <r>
          <rPr>
            <b/>
            <u/>
            <sz val="10"/>
            <color indexed="81"/>
            <rFont val="Calibri"/>
            <family val="2"/>
          </rPr>
          <t>Billable Employees</t>
        </r>
        <r>
          <rPr>
            <sz val="10"/>
            <color indexed="81"/>
            <rFont val="Calibri"/>
            <family val="2"/>
          </rPr>
          <t xml:space="preserve"> include employees who have 10% or more of their time billed to a client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L32" authorId="0" shapeId="0" xr:uid="{18564C9E-E5D8-4140-BBAB-078CF9087D6E}">
      <text>
        <r>
          <rPr>
            <sz val="10"/>
            <color indexed="81"/>
            <rFont val="Calibri"/>
            <family val="2"/>
          </rPr>
          <t>If you are unable to split between Indirect Labor and Non-Labor costs, you may enter the total cost directly.</t>
        </r>
      </text>
    </comment>
    <comment ref="D44" authorId="0" shapeId="0" xr:uid="{3D54A68F-A9DB-4391-B416-C9E7740DF227}">
      <text>
        <r>
          <rPr>
            <sz val="10"/>
            <color indexed="81"/>
            <rFont val="Calibri"/>
            <family val="2"/>
          </rPr>
          <t>Does not include relocation costs, which are included in Other Non-Labor costs below.</t>
        </r>
      </text>
    </comment>
    <comment ref="D58" authorId="0" shapeId="0" xr:uid="{EAB266E8-71EC-4753-813F-B625D51D1781}">
      <text>
        <r>
          <rPr>
            <sz val="10"/>
            <color indexed="81"/>
            <rFont val="Calibri"/>
            <family val="2"/>
          </rPr>
          <t>Only for "non-billable"/"dedicated" personnel.</t>
        </r>
      </text>
    </comment>
    <comment ref="I69" authorId="0" shapeId="0" xr:uid="{1DE83A55-5268-48AA-B673-928EAF68CD15}">
      <text>
        <r>
          <rPr>
            <sz val="10"/>
            <color indexed="81"/>
            <rFont val="Calibri"/>
            <family val="2"/>
          </rPr>
          <t>Includes vacations and holidays. Sick days are also included in this bucket.</t>
        </r>
      </text>
    </comment>
    <comment ref="D71" authorId="0" shapeId="0" xr:uid="{B9CECFFB-D1FA-4298-8358-C315E16E1E63}">
      <text>
        <r>
          <rPr>
            <sz val="10"/>
            <color indexed="81"/>
            <rFont val="Calibri"/>
            <family val="2"/>
          </rPr>
          <t>Includes severance.</t>
        </r>
      </text>
    </comment>
    <comment ref="I77" authorId="0" shapeId="0" xr:uid="{9A2E1FF6-D209-4A4C-9EFA-AA7ED65DF8E3}">
      <text>
        <r>
          <rPr>
            <sz val="10"/>
            <color indexed="81"/>
            <rFont val="Calibri"/>
            <family val="2"/>
          </rPr>
          <t>401(k), Pension, etc.</t>
        </r>
      </text>
    </comment>
    <comment ref="D79" authorId="0" shapeId="0" xr:uid="{73971217-FF4C-474A-B4F6-4BE1E789E577}">
      <text>
        <r>
          <rPr>
            <sz val="10"/>
            <color indexed="81"/>
            <rFont val="Calibri"/>
            <family val="2"/>
          </rPr>
          <t>Include any Health Savings/Flexible Spending Account contributions.</t>
        </r>
      </text>
    </comment>
    <comment ref="D81" authorId="0" shapeId="0" xr:uid="{F546E973-5367-42AC-BC8A-61423AF924B7}">
      <text>
        <r>
          <rPr>
            <sz val="10"/>
            <color indexed="81"/>
            <rFont val="Calibri"/>
            <family val="2"/>
          </rPr>
          <t>Includes workers' compensation, disability, etc.</t>
        </r>
      </text>
    </comment>
    <comment ref="I87" authorId="0" shapeId="0" xr:uid="{08D7C6AF-4755-482A-84B4-F872C97D222C}">
      <text>
        <r>
          <rPr>
            <sz val="10"/>
            <color indexed="81"/>
            <rFont val="Calibri"/>
            <family val="2"/>
          </rPr>
          <t xml:space="preserve">This includes travel costs, temporary room &amp; board costs, etc. but does not include relocation bonuses or sign-on bonuses. </t>
        </r>
      </text>
    </comment>
    <comment ref="D89" authorId="0" shapeId="0" xr:uid="{7D00655E-DA5B-45F3-8C8E-ECFC16597CB9}">
      <text>
        <r>
          <rPr>
            <sz val="10"/>
            <color indexed="81"/>
            <rFont val="Calibri"/>
            <family val="2"/>
          </rPr>
          <t>This includes home office needs/equipment.</t>
        </r>
      </text>
    </comment>
    <comment ref="D93" authorId="0" shapeId="0" xr:uid="{A9032154-6D44-4274-AE96-05F24C41EB5E}">
      <text>
        <r>
          <rPr>
            <sz val="10"/>
            <color indexed="81"/>
            <rFont val="Calibri"/>
            <family val="2"/>
          </rPr>
          <t>Combined total. This field will auto-populate from your earlier P&amp;L information if possible; otherwise, you can enter a value directly.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G15" authorId="0" shapeId="0" xr:uid="{A83DA739-7580-4907-BD96-799619129808}">
      <text>
        <r>
          <rPr>
            <sz val="10"/>
            <color indexed="81"/>
            <rFont val="Calibri"/>
            <family val="2"/>
          </rPr>
          <t>Including Structural and M/E/P</t>
        </r>
      </text>
    </comment>
    <comment ref="D40" authorId="0" shapeId="0" xr:uid="{41EBE0DB-8A4D-4867-B4A3-CA18A38AF03B}">
      <text>
        <r>
          <rPr>
            <sz val="10"/>
            <color indexed="81"/>
            <rFont val="Calibri"/>
            <family val="2"/>
          </rPr>
          <t>Time and Materials</t>
        </r>
      </text>
    </comment>
    <comment ref="G40" authorId="0" shapeId="0" xr:uid="{8F3E3E90-9090-4CA7-94A5-E9C836ADAB0F}">
      <text>
        <r>
          <rPr>
            <sz val="10"/>
            <color indexed="81"/>
            <rFont val="Calibri"/>
            <family val="2"/>
          </rPr>
          <t>Time and Materials</t>
        </r>
      </text>
    </comment>
    <comment ref="J40" authorId="0" shapeId="0" xr:uid="{08613B68-FE4B-49A4-AC05-40755DC5E2EB}">
      <text>
        <r>
          <rPr>
            <sz val="10"/>
            <color indexed="81"/>
            <rFont val="Calibri"/>
            <family val="2"/>
          </rPr>
          <t>Firm Fixed Price</t>
        </r>
      </text>
    </comment>
    <comment ref="L40" authorId="0" shapeId="0" xr:uid="{4EE4EBCE-A54C-494E-A8FF-5F9E4EF4D786}">
      <text>
        <r>
          <rPr>
            <sz val="10"/>
            <color indexed="81"/>
            <rFont val="Calibri"/>
            <family val="2"/>
          </rPr>
          <t>Firm Fixed Price</t>
        </r>
      </text>
    </comment>
    <comment ref="E57" authorId="0" shapeId="0" xr:uid="{8298345B-D05A-45D9-B91F-3D32680C493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57" authorId="0" shapeId="0" xr:uid="{FC504659-8A77-437B-A81C-8A1C600A8A51}">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64" authorId="0" shapeId="0" xr:uid="{93B7AC0B-CC91-479E-8C2E-19AADC71C668}">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64" authorId="0" shapeId="0" xr:uid="{34E80BD1-FCCD-4BF1-A09A-2AB2047B1A3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81" authorId="0" shapeId="0" xr:uid="{07E41D0D-BC38-4ECC-8AAB-D0BB40D2DE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1" authorId="0" shapeId="0" xr:uid="{8F9AF497-FD74-4897-A337-47F100AF828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8" authorId="0" shapeId="0" xr:uid="{5B37BFDD-FFF0-4D5F-B57F-154E0C675BC3}">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107" authorId="0" shapeId="0" xr:uid="{A232E1DB-1CD8-4FEC-A979-A8E2E1493526}">
      <text>
        <r>
          <rPr>
            <sz val="10"/>
            <color indexed="81"/>
            <rFont val="Calibri"/>
            <family val="2"/>
          </rPr>
          <t>Average # of Years</t>
        </r>
      </text>
    </comment>
    <comment ref="D113" authorId="0" shapeId="0" xr:uid="{1D3CECF9-7D4F-40E1-92EB-62631FDDC91C}">
      <text>
        <r>
          <rPr>
            <sz val="10"/>
            <color indexed="81"/>
            <rFont val="Calibri"/>
            <family val="2"/>
          </rPr>
          <t>"Repeat business" refers to work done for a client for which you have done work in the prior five years.</t>
        </r>
      </text>
    </comment>
    <comment ref="D115" authorId="0" shapeId="0" xr:uid="{57589B4F-BDA7-4E0A-8A34-66C92982E9F6}">
      <text>
        <r>
          <rPr>
            <sz val="10"/>
            <color indexed="81"/>
            <rFont val="Calibri"/>
            <family val="2"/>
          </rPr>
          <t xml:space="preserve">"Sole Sourced" work refers to work that is not bid on or competed for.
</t>
        </r>
        <r>
          <rPr>
            <i/>
            <sz val="10"/>
            <color indexed="81"/>
            <rFont val="Calibri"/>
            <family val="2"/>
          </rPr>
          <t xml:space="preserve">
Note that this </t>
        </r>
        <r>
          <rPr>
            <b/>
            <i/>
            <sz val="10"/>
            <color indexed="81"/>
            <rFont val="Calibri"/>
            <family val="2"/>
          </rPr>
          <t>includes</t>
        </r>
        <r>
          <rPr>
            <i/>
            <sz val="10"/>
            <color indexed="81"/>
            <rFont val="Calibri"/>
            <family val="2"/>
          </rPr>
          <t xml:space="preserve"> work received through an already-won MSA, IDIQ, or similar multi-project agreement.</t>
        </r>
      </text>
    </comment>
    <comment ref="D117" authorId="0" shapeId="0" xr:uid="{3CE33E55-CA38-464D-8FC0-B3DF6C653F04}">
      <text>
        <r>
          <rPr>
            <sz val="10"/>
            <color indexed="81"/>
            <rFont val="Calibri"/>
            <family val="2"/>
          </rPr>
          <t xml:space="preserve">By IDIQ (“Indefinite Delivery/Indefinite Quantity” or MSA (“Master Service Agreement”), we mean any contract that enables a firm to get sole-source work from a client for a defined period of time.
Note that all such work is a specific type of sole-sourced work, so this value will be less than or equal to the overall amount of sole-sourced work. </t>
        </r>
        <r>
          <rPr>
            <i/>
            <sz val="10"/>
            <color indexed="81"/>
            <rFont val="Calibri"/>
            <family val="2"/>
          </rPr>
          <t>For example, if 20% of your total work was sole-sourced, and half of that was through an MSA, you would enter 10%.</t>
        </r>
      </text>
    </comment>
    <comment ref="D120" authorId="0" shapeId="0" xr:uid="{045362FD-E402-4CBA-88D7-5BB763807C56}">
      <text>
        <r>
          <rPr>
            <sz val="10"/>
            <color indexed="81"/>
            <rFont val="Calibri"/>
            <family val="2"/>
          </rPr>
          <t>By IDIQ (“Indefinite Delivery/Indefinite Quantity” or MSA (“Master Service Agreement”), we mean any contract that enables a firm to get sole-source work from a client for a defined period of time.</t>
        </r>
      </text>
    </comment>
    <comment ref="D122" authorId="0" shapeId="0" xr:uid="{38A20E13-F485-4A38-B3A9-39946C570E58}">
      <text>
        <r>
          <rPr>
            <sz val="10"/>
            <color indexed="81"/>
            <rFont val="Calibri"/>
            <family val="2"/>
          </rPr>
          <t>"Sole Sourced" work refers to work that is not bid on or competed for.</t>
        </r>
      </text>
    </comment>
    <comment ref="I122" authorId="0" shapeId="0" xr:uid="{20FFE537-3734-4A95-B322-88D6DF9C2E00}">
      <text>
        <r>
          <rPr>
            <sz val="10"/>
            <color indexed="81"/>
            <rFont val="Calibri"/>
            <family val="2"/>
          </rPr>
          <t xml:space="preserve"># Proposals Won / (# Proposals Won + # Proposals Lost)
</t>
        </r>
        <r>
          <rPr>
            <b/>
            <sz val="10"/>
            <color indexed="81"/>
            <rFont val="Calibri"/>
            <family val="2"/>
          </rPr>
          <t>Please only include proposals that your firm has heard back on.</t>
        </r>
      </text>
    </comment>
    <comment ref="L122" authorId="0" shapeId="0" xr:uid="{A0B677EB-E7CB-45C0-8F7D-93BCAFFA7FF1}">
      <text>
        <r>
          <rPr>
            <sz val="10"/>
            <color indexed="81"/>
            <rFont val="Calibri"/>
            <family val="2"/>
          </rPr>
          <t xml:space="preserve">$-Value of Proposals Won / ($-Value of Proposals Won + $-Value of Proposals Lost)
</t>
        </r>
        <r>
          <rPr>
            <b/>
            <sz val="10"/>
            <color indexed="81"/>
            <rFont val="Calibri"/>
            <family val="2"/>
          </rPr>
          <t>Please only include proposals that your firm has heard back 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E27" authorId="0" shapeId="0" xr:uid="{F56DEF17-8A8E-4473-9145-5B21C0746E00}">
      <text>
        <r>
          <rPr>
            <sz val="10"/>
            <color indexed="81"/>
            <rFont val="Calibri"/>
            <family val="2"/>
          </rPr>
          <t>Remedial Investigation -- Feasibility Study</t>
        </r>
      </text>
    </comment>
    <comment ref="E37" authorId="0" shapeId="0" xr:uid="{F66BFD6C-2AB9-4FEF-9E5D-ABE081B7B500}">
      <text>
        <r>
          <rPr>
            <sz val="10"/>
            <color indexed="81"/>
            <rFont val="Calibri"/>
            <family val="2"/>
          </rPr>
          <t>Underground Storage Tanks</t>
        </r>
      </text>
    </comment>
    <comment ref="H121" authorId="0" shapeId="0" xr:uid="{3C76709C-6994-4F77-A9F7-B06E337978E3}">
      <text>
        <r>
          <rPr>
            <sz val="10"/>
            <color indexed="81"/>
            <rFont val="Calibri"/>
            <family val="2"/>
          </rPr>
          <t>Bus Rapid Transit Systems</t>
        </r>
      </text>
    </comment>
    <comment ref="H135" authorId="0" shapeId="0" xr:uid="{2C5892BF-884D-4AF7-985E-B369AC27D885}">
      <text>
        <r>
          <rPr>
            <sz val="10"/>
            <color indexed="81"/>
            <rFont val="Calibri"/>
            <family val="2"/>
          </rPr>
          <t>"Landside"</t>
        </r>
      </text>
    </comment>
    <comment ref="K135" authorId="0" shapeId="0" xr:uid="{5EAE6429-FC53-4DB4-A2B7-56B5F50BFB70}">
      <text>
        <r>
          <rPr>
            <sz val="10"/>
            <color indexed="81"/>
            <rFont val="Calibri"/>
            <family val="2"/>
          </rPr>
          <t>"Airside"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0" authorId="0" shapeId="0" xr:uid="{2F5B4644-554F-448C-80FA-BD0F9F268403}">
      <text>
        <r>
          <rPr>
            <sz val="10"/>
            <color indexed="81"/>
            <rFont val="Calibri"/>
            <family val="2"/>
          </rPr>
          <t>Including operating leases for offices, equipment, autos, etc., but excluding capital leases.</t>
        </r>
      </text>
    </comment>
    <comment ref="D16" authorId="0" shapeId="0" xr:uid="{FE0C6B3F-240B-4A33-AC5B-287C29F8CAF9}">
      <text>
        <r>
          <rPr>
            <sz val="10"/>
            <color indexed="81"/>
            <rFont val="Calibri"/>
            <family val="2"/>
          </rPr>
          <t>This should exclude field offices or offices paid for by clients</t>
        </r>
      </text>
    </comment>
    <comment ref="D22" authorId="0" shapeId="0" xr:uid="{7EF82D59-3787-442E-B1CD-4701D5DEEE71}">
      <text>
        <r>
          <rPr>
            <sz val="10"/>
            <color indexed="81"/>
            <rFont val="Calibri"/>
            <family val="2"/>
          </rPr>
          <t>For "unused space", please only include space that your firm could / would like to utilize (as opposed to space currently unutilized as a result of social distancing and / or other safety measures).</t>
        </r>
      </text>
    </comment>
    <comment ref="D32" authorId="0" shapeId="0" xr:uid="{6ACC3A12-88A2-4067-970F-434B46C6D717}">
      <text>
        <r>
          <rPr>
            <sz val="10"/>
            <color indexed="81"/>
            <rFont val="Calibri"/>
            <family val="2"/>
          </rPr>
          <t>Note that this excludes software licensing fees and investment in "foundational" technologies, such  as ERP, HRIS, CRM, payroll/accounting software, etc.</t>
        </r>
      </text>
    </comment>
    <comment ref="D34" authorId="0" shapeId="0" xr:uid="{5D51DB79-AC88-488B-BDCA-AB5E1F67ECE8}">
      <text>
        <r>
          <rPr>
            <sz val="10"/>
            <color indexed="81"/>
            <rFont val="Calibri"/>
            <family val="2"/>
          </rPr>
          <t>Should sum to 100%.</t>
        </r>
      </text>
    </comment>
    <comment ref="L40" authorId="0" shapeId="0" xr:uid="{2DAD656A-0248-4906-8F21-2B1B4DCB3172}">
      <text>
        <r>
          <rPr>
            <sz val="10"/>
            <color indexed="81"/>
            <rFont val="Calibri"/>
            <family val="2"/>
          </rPr>
          <t>Excluding software licensing fees.</t>
        </r>
      </text>
    </comment>
    <comment ref="D87" authorId="0" shapeId="0" xr:uid="{9B717081-8B66-40A2-A1C2-068039986DE4}">
      <text>
        <r>
          <rPr>
            <sz val="10"/>
            <color indexed="81"/>
            <rFont val="Calibri"/>
            <family val="2"/>
          </rPr>
          <t>These totals will auto-sum from their components. If you prefer not to break them out, you may simply enter values for the totals</t>
        </r>
        <r>
          <rPr>
            <b/>
            <sz val="10"/>
            <color indexed="81"/>
            <rFont val="Calibri"/>
            <family val="2"/>
          </rPr>
          <t>.</t>
        </r>
      </text>
    </comment>
    <comment ref="D96" authorId="0" shapeId="0" xr:uid="{D9D97078-F9DC-446A-B474-5623D7C84B24}">
      <text>
        <r>
          <rPr>
            <b/>
            <sz val="10"/>
            <color indexed="81"/>
            <rFont val="Calibri"/>
            <family val="2"/>
          </rPr>
          <t>Examples:</t>
        </r>
        <r>
          <rPr>
            <sz val="10"/>
            <color indexed="81"/>
            <rFont val="Calibri"/>
            <family val="2"/>
          </rPr>
          <t xml:space="preserve">
- </t>
        </r>
        <r>
          <rPr>
            <u/>
            <sz val="10"/>
            <color indexed="81"/>
            <rFont val="Calibri"/>
            <family val="2"/>
          </rPr>
          <t>Sector expansion</t>
        </r>
        <r>
          <rPr>
            <sz val="10"/>
            <color indexed="81"/>
            <rFont val="Calibri"/>
            <family val="2"/>
          </rPr>
          <t xml:space="preserve">: e.g. water/wastewater, oil &amp; gas
- </t>
        </r>
        <r>
          <rPr>
            <u/>
            <sz val="10"/>
            <color indexed="81"/>
            <rFont val="Calibri"/>
            <family val="2"/>
          </rPr>
          <t>Function expansion</t>
        </r>
        <r>
          <rPr>
            <sz val="10"/>
            <color indexed="81"/>
            <rFont val="Calibri"/>
            <family val="2"/>
          </rPr>
          <t xml:space="preserve">: e.g. CM, architecture, O&amp;M
- </t>
        </r>
        <r>
          <rPr>
            <u/>
            <sz val="10"/>
            <color indexed="81"/>
            <rFont val="Calibri"/>
            <family val="2"/>
          </rPr>
          <t>Client expansion</t>
        </r>
        <r>
          <rPr>
            <sz val="10"/>
            <color indexed="81"/>
            <rFont val="Calibri"/>
            <family val="2"/>
          </rPr>
          <t xml:space="preserve">: e.g. federal, private
- </t>
        </r>
        <r>
          <rPr>
            <u/>
            <sz val="10"/>
            <color indexed="81"/>
            <rFont val="Calibri"/>
            <family val="2"/>
          </rPr>
          <t>Scale</t>
        </r>
        <r>
          <rPr>
            <sz val="10"/>
            <color indexed="81"/>
            <rFont val="Calibri"/>
            <family val="2"/>
          </rPr>
          <t>: i.e. acquired a firm with very similar business model</t>
        </r>
      </text>
    </comment>
    <comment ref="D114" authorId="0" shapeId="0" xr:uid="{64D45578-9E0A-4213-9613-19155F40B927}">
      <text>
        <r>
          <rPr>
            <sz val="10"/>
            <color indexed="81"/>
            <rFont val="Calibri"/>
            <family val="2"/>
          </rPr>
          <t>If exact date is unknown (or you prefer not to share it), please use the first day of the closing month.</t>
        </r>
      </text>
    </comment>
    <comment ref="D132" authorId="0" shapeId="0" xr:uid="{2829B64A-BCD3-4BD7-A33A-34513AC7DACD}">
      <text>
        <r>
          <rPr>
            <sz val="10"/>
            <color indexed="81"/>
            <rFont val="Calibri"/>
            <family val="2"/>
          </rPr>
          <t>Should sum to 100% by column.</t>
        </r>
      </text>
    </comment>
    <comment ref="F148" authorId="0" shapeId="0" xr:uid="{0F3317FB-5D7D-43F0-B775-EA6A91556411}">
      <text>
        <r>
          <rPr>
            <sz val="10"/>
            <color indexed="81"/>
            <rFont val="Calibri"/>
            <family val="2"/>
          </rPr>
          <t>E.g.,minority, majority,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8" authorId="0" shapeId="0" xr:uid="{2AFB87F2-5AEA-45F8-8445-5CDE6E21DBB5}">
      <text>
        <r>
          <rPr>
            <sz val="10"/>
            <color indexed="81"/>
            <rFont val="Calibri"/>
            <family val="2"/>
          </rPr>
          <t>Total for this question should be 100%. For any owners that are unknown or do not fit in another category, please use "Other".</t>
        </r>
      </text>
    </comment>
    <comment ref="I8" authorId="0" shapeId="0" xr:uid="{ED1174F4-13F3-409F-8BF8-A8FDE4607952}">
      <text>
        <r>
          <rPr>
            <sz val="10"/>
            <color indexed="81"/>
            <rFont val="Calibri"/>
            <family val="2"/>
          </rPr>
          <t>That is, not by an ESOP, etc.</t>
        </r>
      </text>
    </comment>
    <comment ref="I10" authorId="0" shapeId="0" xr:uid="{FDE0BFAA-5893-4B0B-AC2B-39C64C231966}">
      <text>
        <r>
          <rPr>
            <sz val="10"/>
            <color indexed="81"/>
            <rFont val="Calibri"/>
            <family val="2"/>
          </rPr>
          <t>E.g., private equity, venture capital, etc.</t>
        </r>
      </text>
    </comment>
    <comment ref="L14" authorId="0" shapeId="0" xr:uid="{AEAB9439-7D6F-4071-A0D8-D4C15BA75C34}">
      <text>
        <r>
          <rPr>
            <sz val="10"/>
            <color indexed="81"/>
            <rFont val="Calibri"/>
            <family val="2"/>
          </rPr>
          <t>Weighted by ownership.</t>
        </r>
      </text>
    </comment>
    <comment ref="D26" authorId="0" shapeId="0" xr:uid="{9C914617-68A8-48CF-8C47-3A05A8B84D5F}">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28" authorId="0" shapeId="0" xr:uid="{7C164120-C9C1-43FD-97FB-37CE13268E24}">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76" authorId="0" shapeId="0" xr:uid="{2B89B079-D7B0-493A-8DCB-FCDC2BA2D343}">
      <text>
        <r>
          <rPr>
            <b/>
            <sz val="10"/>
            <color indexed="81"/>
            <rFont val="Calibri"/>
            <family val="2"/>
          </rPr>
          <t>Professional employees</t>
        </r>
        <r>
          <rPr>
            <sz val="10"/>
            <color indexed="81"/>
            <rFont val="Calibri"/>
            <family val="2"/>
          </rPr>
          <t xml:space="preserve"> include engineers, scientists, architects, construction managers, executives and overhead staff.
</t>
        </r>
        <r>
          <rPr>
            <b/>
            <sz val="10"/>
            <color indexed="81"/>
            <rFont val="Calibri"/>
            <family val="2"/>
          </rPr>
          <t>Non-professional employees</t>
        </r>
        <r>
          <rPr>
            <sz val="10"/>
            <color indexed="81"/>
            <rFont val="Calibri"/>
            <family val="2"/>
          </rPr>
          <t xml:space="preserve"> include office clerks, technicians, and construction craft workers.</t>
        </r>
      </text>
    </comment>
    <comment ref="D90" authorId="0" shapeId="0" xr:uid="{ED65A381-0594-4961-8E93-D575B2B45668}">
      <text>
        <r>
          <rPr>
            <b/>
            <sz val="10"/>
            <color indexed="81"/>
            <rFont val="Calibri"/>
            <family val="2"/>
          </rPr>
          <t>Professional employees</t>
        </r>
        <r>
          <rPr>
            <sz val="10"/>
            <color indexed="81"/>
            <rFont val="Calibri"/>
            <family val="2"/>
          </rPr>
          <t xml:space="preserve"> include engineers, scientists, architects, construction managers, executives and overhead staff.
</t>
        </r>
        <r>
          <rPr>
            <b/>
            <sz val="10"/>
            <color indexed="81"/>
            <rFont val="Calibri"/>
            <family val="2"/>
          </rPr>
          <t>Non-professional employees</t>
        </r>
        <r>
          <rPr>
            <sz val="10"/>
            <color indexed="81"/>
            <rFont val="Calibri"/>
            <family val="2"/>
          </rPr>
          <t xml:space="preserve"> include office clerks, technicians, and construction craft workers.</t>
        </r>
      </text>
    </comment>
    <comment ref="D100" authorId="0" shapeId="0" xr:uid="{4367C83F-B86C-43CF-85D8-7B8BEFA75440}">
      <text>
        <r>
          <rPr>
            <sz val="10"/>
            <color indexed="81"/>
            <rFont val="Calibri"/>
            <family val="2"/>
          </rPr>
          <t>"Minority" is here defined per the US Census Bureau as being of one of the following races: Black, American Indian, Asian, Pacific Islander, Other Race, or Two or More Races AND/OR being of Hispanic/Latino origin.</t>
        </r>
      </text>
    </comment>
    <comment ref="L103" authorId="0" shapeId="0" xr:uid="{B55DA016-5E63-4EED-BAFD-888745A10484}">
      <text>
        <r>
          <rPr>
            <sz val="10"/>
            <color indexed="81"/>
            <rFont val="Calibri"/>
            <family val="2"/>
          </rPr>
          <t>"Minority" is here defined per the US Census Bureau as being of one of the following races: Black, American Indian, Asian, Pacific Islander, Other Race, or Two or More Races AND/OR being of Hispanic/Latino origin.</t>
        </r>
      </text>
    </comment>
    <comment ref="D105" authorId="0" shapeId="0" xr:uid="{F8AE1BC6-1CF4-4BD4-ABE8-941CB7F8D02C}">
      <text>
        <r>
          <rPr>
            <sz val="10"/>
            <color indexed="81"/>
            <rFont val="Calibri"/>
            <family val="2"/>
          </rPr>
          <t xml:space="preserve">For the purposes of this survey, a diversity improvement initiative must be a </t>
        </r>
        <r>
          <rPr>
            <b/>
            <sz val="10"/>
            <color indexed="81"/>
            <rFont val="Calibri"/>
            <family val="2"/>
          </rPr>
          <t xml:space="preserve">company-wide initiative </t>
        </r>
        <r>
          <rPr>
            <sz val="10"/>
            <color indexed="81"/>
            <rFont val="Calibri"/>
            <family val="2"/>
          </rPr>
          <t>focused on attracting and retaining women and/or minority employees.</t>
        </r>
      </text>
    </comment>
    <comment ref="D163" authorId="0" shapeId="0" xr:uid="{5EC4D490-4686-4553-8A81-19EE7CBC0B2F}">
      <text>
        <r>
          <rPr>
            <sz val="10"/>
            <color indexed="81"/>
            <rFont val="Calibri"/>
            <family val="2"/>
          </rPr>
          <t>Long-Term Compensation includes current annual compensation value of any significant Stock Bonus, Stock Options, SARs/Phantom shares, Deferred Comp, etc.</t>
        </r>
      </text>
    </comment>
    <comment ref="D165" authorId="0" shapeId="0" xr:uid="{F408528E-7C5D-40C1-9A91-C1CABB6CB9ED}">
      <text>
        <r>
          <rPr>
            <sz val="10"/>
            <color indexed="81"/>
            <rFont val="Calibri"/>
            <family val="2"/>
          </rPr>
          <t>Other Compensation includes retirement plan contributions, ESOP contributions, car allowances, life insurance and other enhanced fringe benefits.</t>
        </r>
      </text>
    </comment>
    <comment ref="D167" authorId="0" shapeId="0" xr:uid="{425EBA71-3FEB-488B-B147-5A33C97AF630}">
      <text>
        <r>
          <rPr>
            <sz val="10"/>
            <color indexed="81"/>
            <rFont val="Calibri"/>
            <family val="2"/>
          </rPr>
          <t xml:space="preserve">Ownership should exclude </t>
        </r>
        <r>
          <rPr>
            <u/>
            <sz val="10"/>
            <color indexed="81"/>
            <rFont val="Calibri"/>
            <family val="2"/>
          </rPr>
          <t>synthetic</t>
        </r>
        <r>
          <rPr>
            <sz val="10"/>
            <color indexed="81"/>
            <rFont val="Calibri"/>
            <family val="2"/>
          </rPr>
          <t xml:space="preserve"> equity (if the firm provides it)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3" authorId="0" shapeId="0" xr:uid="{093C201C-8D55-48F1-99ED-01CDDA618A17}">
      <text>
        <r>
          <rPr>
            <sz val="10"/>
            <color indexed="81"/>
            <rFont val="Calibri"/>
            <family val="2"/>
          </rPr>
          <t xml:space="preserve">I.e., the categories defined in Revenue Breakouts by Sector in this survey: </t>
        </r>
        <r>
          <rPr>
            <i/>
            <sz val="10"/>
            <color indexed="81"/>
            <rFont val="Calibri"/>
            <family val="2"/>
          </rPr>
          <t>Environmental, Power, Oil &amp; Gas, Industrial Process, Water/WW, General Building, Mining/Minerals, Telecom/IT, Transportation, Land Dev./Planning, Geotech/Materials, Other</t>
        </r>
      </text>
    </comment>
    <comment ref="D15" authorId="0" shapeId="0" xr:uid="{E5A8B8D5-978D-461A-B8FF-99668194705E}">
      <text>
        <r>
          <rPr>
            <sz val="10"/>
            <color indexed="81"/>
            <rFont val="Calibri"/>
            <family val="2"/>
          </rPr>
          <t xml:space="preserve">I.e., the categories defined in Revenue Breakouts by Sector in this survey: </t>
        </r>
        <r>
          <rPr>
            <i/>
            <sz val="10"/>
            <color indexed="81"/>
            <rFont val="Calibri"/>
            <family val="2"/>
          </rPr>
          <t>New England, NY/NJ, Mid-Atlantic, Southeast, Great Lakes, South/Gulf Coast, Midwest, Rockies, Southwest, Northwest, Canada, Americas, Europe, Central/West Asia, Africa, South/East Asia, Oceania</t>
        </r>
      </text>
    </comment>
    <comment ref="D17" authorId="0" shapeId="0" xr:uid="{47039E00-5FA0-4E7D-B127-DA44D19C678B}">
      <text>
        <r>
          <rPr>
            <sz val="10"/>
            <color indexed="81"/>
            <rFont val="Calibri"/>
            <family val="2"/>
          </rPr>
          <t xml:space="preserve">I.e., the categories defined in Revenue Breakouts by Sector in this survey: </t>
        </r>
        <r>
          <rPr>
            <i/>
            <sz val="10"/>
            <color indexed="81"/>
            <rFont val="Calibri"/>
            <family val="2"/>
          </rPr>
          <t>US Federal, US State/Municipal, US Private, Non-US Government, Non-US Private</t>
        </r>
      </text>
    </comment>
    <comment ref="D37" authorId="0" shapeId="0" xr:uid="{B4FBC7B2-B8BB-4666-8252-E36982806817}">
      <text>
        <r>
          <rPr>
            <sz val="10"/>
            <color indexed="81"/>
            <rFont val="Calibri"/>
            <family val="2"/>
          </rPr>
          <t>Includes project proposals or requests for qualifications that ask for your overall sustainability/ ESG framework or policy (including submitting a response to a third-party survey like GRI, Ecovadis, or SASB) and/ or specific questions or metrics on your firm's carbon emissions, climate risks, environmental policies, diversity metrics, the inclusion of minority subcontractors, etc.</t>
        </r>
      </text>
    </comment>
    <comment ref="D41" authorId="0" shapeId="0" xr:uid="{A323627B-8320-4967-9013-77D0D7EAABE0}">
      <text>
        <r>
          <rPr>
            <sz val="10"/>
            <color indexed="81"/>
            <rFont val="Calibri"/>
            <family val="2"/>
          </rPr>
          <t>Including dedicated staff and part-time contributions, reporting, software, and external consultants.</t>
        </r>
      </text>
    </comment>
    <comment ref="D48" authorId="0" shapeId="0" xr:uid="{BF8FD274-D036-44D6-8479-F49D3D754A09}">
      <text>
        <r>
          <rPr>
            <sz val="10"/>
            <color indexed="81"/>
            <rFont val="Calibri"/>
            <family val="2"/>
          </rPr>
          <t xml:space="preserve">If certain staff have a part-time dedication to the team, please convert to FTE allocation </t>
        </r>
      </text>
    </comment>
    <comment ref="D192" authorId="0" shapeId="0" xr:uid="{453463CF-E4C3-4F98-A4B7-59244AD637D1}">
      <text>
        <r>
          <rPr>
            <sz val="10"/>
            <color indexed="81"/>
            <rFont val="Calibri"/>
            <family val="2"/>
          </rPr>
          <t>Foundational Technology refers to tech used to make a firm more efficient or effective internally, e.g. ERP, CRM, collaboration and communication tools, etc.</t>
        </r>
      </text>
    </comment>
    <comment ref="D196" authorId="0" shapeId="0" xr:uid="{958E6849-A8E5-4AF6-8934-F4D12F84BF14}">
      <text>
        <r>
          <rPr>
            <sz val="10"/>
            <color indexed="81"/>
            <rFont val="Calibri"/>
            <family val="2"/>
          </rPr>
          <t>Foundational Technology refers to tech used to make a firm more efficient or effective internally, e.g. ERP, CRM, collaboration and communication tools, etc.</t>
        </r>
      </text>
    </comment>
    <comment ref="E202" authorId="0" shapeId="0" xr:uid="{FF63888C-757F-42ED-8104-5D9201DF8BA9}">
      <text>
        <r>
          <rPr>
            <sz val="10"/>
            <color indexed="81"/>
            <rFont val="Calibri"/>
            <family val="2"/>
          </rPr>
          <t>Technology to make a firm more efficient or effective internally, e.g. ERP, CRM, collaboration and communication tools, etc.</t>
        </r>
      </text>
    </comment>
    <comment ref="H202" authorId="0" shapeId="0" xr:uid="{072A0557-4596-483E-B9A7-49D41E8B3A60}">
      <text>
        <r>
          <rPr>
            <sz val="10"/>
            <color indexed="81"/>
            <rFont val="Calibri"/>
            <family val="2"/>
          </rPr>
          <t>Technology to improve your value proposition to clients, e.g. BIM/digital twins, BI tools, client dashboards, visualization tools, etc.</t>
        </r>
      </text>
    </comment>
    <comment ref="L202" authorId="0" shapeId="0" xr:uid="{C8620ECC-BB69-41A7-A204-27682B576095}">
      <text>
        <r>
          <rPr>
            <sz val="10"/>
            <color indexed="81"/>
            <rFont val="Calibri"/>
            <family val="2"/>
          </rPr>
          <t>Technology designed and sold to clients and competitors, e.g. SaaS products, AI-driven operational technology, etc.</t>
        </r>
      </text>
    </comment>
    <comment ref="D226" authorId="0" shapeId="0" xr:uid="{BDB19731-DB7F-4B18-8FE6-9CCAD7E55232}">
      <text>
        <r>
          <rPr>
            <sz val="10"/>
            <color indexed="81"/>
            <rFont val="Calibri"/>
            <family val="2"/>
          </rPr>
          <t xml:space="preserve">NPS is calculated by gathering responses to the question </t>
        </r>
        <r>
          <rPr>
            <i/>
            <sz val="10"/>
            <color indexed="81"/>
            <rFont val="Calibri"/>
            <family val="2"/>
          </rPr>
          <t>"How likely is it that you would recommend _______ to a friend or colleague?"</t>
        </r>
        <r>
          <rPr>
            <sz val="10"/>
            <color indexed="81"/>
            <rFont val="Calibri"/>
            <family val="2"/>
          </rPr>
          <t xml:space="preserve">. Respondents who answer </t>
        </r>
        <r>
          <rPr>
            <u/>
            <sz val="10"/>
            <color indexed="81"/>
            <rFont val="Calibri"/>
            <family val="2"/>
          </rPr>
          <t>9-10 are "Promoters"</t>
        </r>
        <r>
          <rPr>
            <sz val="10"/>
            <color indexed="81"/>
            <rFont val="Calibri"/>
            <family val="2"/>
          </rPr>
          <t xml:space="preserve">, and respondents who answer </t>
        </r>
        <r>
          <rPr>
            <u/>
            <sz val="10"/>
            <color indexed="81"/>
            <rFont val="Calibri"/>
            <family val="2"/>
          </rPr>
          <t>0-6 are "Detractors"</t>
        </r>
        <r>
          <rPr>
            <sz val="10"/>
            <color indexed="81"/>
            <rFont val="Calibri"/>
            <family val="2"/>
          </rPr>
          <t xml:space="preserve">. 
The NPS score is then calculated as:
</t>
        </r>
        <r>
          <rPr>
            <b/>
            <sz val="10"/>
            <color indexed="81"/>
            <rFont val="Calibri"/>
            <family val="2"/>
          </rPr>
          <t xml:space="preserve">NPS = % Promoters - % Detractors
</t>
        </r>
        <r>
          <rPr>
            <sz val="10"/>
            <color indexed="81"/>
            <rFont val="Calibri"/>
            <family val="2"/>
          </rPr>
          <t>and can range from +100 (all promoters) to -100 (all detractors).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395DDF-927B-40AD-8D44-A5403F3B7A9B}" keepAlive="1" name="Query - Exchange_Rates_Import" type="5" refreshedVersion="8" deleted="1" saveData="1">
    <dbPr connection="" command=""/>
  </connection>
</connection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<sst xmlns="http://schemas.openxmlformats.org/spreadsheetml/2006/main" count="1955" uniqueCount="1611">
  <si>
    <t>Firm Name:</t>
  </si>
  <si>
    <t>(1) General Information</t>
  </si>
  <si>
    <t xml:space="preserve">Georgia </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</si>
  <si>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</si>
  <si>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</si>
  <si>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</si>
  <si>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</si>
  <si>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</si>
  <si>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</si>
  <si>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</si>
  <si>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</si>
  <si>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</si>
  <si>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Hawaii </t>
  </si>
  <si>
    <t xml:space="preserve">Idaho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</si>
  <si>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</si>
  <si>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</si>
  <si>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</si>
  <si>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</si>
  <si>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</si>
  <si>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</si>
  <si>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</si>
  <si>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</si>
  <si>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</si>
  <si>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</si>
  <si>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</si>
  <si>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</si>
  <si>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</si>
  <si>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</si>
  <si>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</si>
  <si>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</si>
  <si>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</si>
  <si>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</si>
  <si>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</si>
  <si>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</si>
  <si>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</si>
  <si>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</si>
  <si>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</si>
  <si>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</si>
  <si>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</si>
  <si>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</si>
  <si>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</si>
  <si>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</si>
  <si>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</si>
  <si>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</si>
  <si>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</si>
  <si>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Wyoming</t>
  </si>
  <si>
    <t>Indiana</t>
  </si>
  <si>
    <t>Illinois</t>
  </si>
  <si>
    <t>Nebraska</t>
  </si>
  <si>
    <t>Montana</t>
  </si>
  <si>
    <t>Rhode Island</t>
  </si>
  <si>
    <t>Pennsylvania</t>
  </si>
  <si>
    <t>District of Columbia</t>
  </si>
  <si>
    <t>American Samoa</t>
  </si>
  <si>
    <t>Guam</t>
  </si>
  <si>
    <t>Northern Mariana Islands</t>
  </si>
  <si>
    <t>US Minor Outlying Islands</t>
  </si>
  <si>
    <t>US Virgin Islands</t>
  </si>
  <si>
    <t>Puerto Rico</t>
  </si>
  <si>
    <t>ID</t>
  </si>
  <si>
    <t>-</t>
  </si>
  <si>
    <t>Currency</t>
  </si>
  <si>
    <t>Gross Revenues</t>
  </si>
  <si>
    <t>Subcontractor Costs</t>
  </si>
  <si>
    <t>Reimbursable Expenses</t>
  </si>
  <si>
    <t>TOTAL</t>
  </si>
  <si>
    <t>Net Revenues</t>
  </si>
  <si>
    <t>EBIBET</t>
  </si>
  <si>
    <t>ESOP Contribution</t>
  </si>
  <si>
    <t>EBIBT</t>
  </si>
  <si>
    <t>Bonus Expense</t>
  </si>
  <si>
    <t>Depreciation Expense</t>
  </si>
  <si>
    <t>Amortization Expense</t>
  </si>
  <si>
    <t>EBITDA</t>
  </si>
  <si>
    <t>Unusual Items</t>
  </si>
  <si>
    <t>#1</t>
  </si>
  <si>
    <t>Sole-Sourced</t>
  </si>
  <si>
    <t>Alternative Delivery</t>
  </si>
  <si>
    <t>Other</t>
  </si>
  <si>
    <t>Assets</t>
  </si>
  <si>
    <t>Cash</t>
  </si>
  <si>
    <t>Accounts Receivable</t>
  </si>
  <si>
    <t>Net Fixed Assets</t>
  </si>
  <si>
    <t>Intangibles</t>
  </si>
  <si>
    <t>Other Assets</t>
  </si>
  <si>
    <t>Liabilities</t>
  </si>
  <si>
    <t>Deferred Taxes</t>
  </si>
  <si>
    <t>Shareholder Debt</t>
  </si>
  <si>
    <t>Other Liabilities</t>
  </si>
  <si>
    <t>By Business/Area</t>
  </si>
  <si>
    <t>Water/Wastewater</t>
  </si>
  <si>
    <t>Transportation</t>
  </si>
  <si>
    <t>Power</t>
  </si>
  <si>
    <t>General Building</t>
  </si>
  <si>
    <t>Oil &amp; Gas</t>
  </si>
  <si>
    <t>Industrial Process</t>
  </si>
  <si>
    <t>Social Impact Studies</t>
  </si>
  <si>
    <t>Permitting</t>
  </si>
  <si>
    <t>Site Remediation</t>
  </si>
  <si>
    <t>Waste Management</t>
  </si>
  <si>
    <t>Ecosystems Management</t>
  </si>
  <si>
    <t>Risk Assessment</t>
  </si>
  <si>
    <t>Asbestos Cleanup</t>
  </si>
  <si>
    <t>Solid Waste</t>
  </si>
  <si>
    <t>Hazardous Waste</t>
  </si>
  <si>
    <t>Nuclear Waste</t>
  </si>
  <si>
    <t>Natural Resources</t>
  </si>
  <si>
    <t>Habitat Analysis</t>
  </si>
  <si>
    <t>Clean Water Extraction &amp; Storage</t>
  </si>
  <si>
    <t>Distribution</t>
  </si>
  <si>
    <t>Wastewater Collection</t>
  </si>
  <si>
    <t>Wastewater Treatment</t>
  </si>
  <si>
    <t>Power Distribution</t>
  </si>
  <si>
    <t>Energy Efficiency</t>
  </si>
  <si>
    <t>Hydropower</t>
  </si>
  <si>
    <t>Wind</t>
  </si>
  <si>
    <t>Solar</t>
  </si>
  <si>
    <t>Nuclear</t>
  </si>
  <si>
    <t>Waste-to-Energy</t>
  </si>
  <si>
    <t>Transmission Lines</t>
  </si>
  <si>
    <t>Substations</t>
  </si>
  <si>
    <t>Energy Storage</t>
  </si>
  <si>
    <t>Smart Grids</t>
  </si>
  <si>
    <t>Certification</t>
  </si>
  <si>
    <t>Residential</t>
  </si>
  <si>
    <t>Office/Retail</t>
  </si>
  <si>
    <t>Entertainment/Hospitality</t>
  </si>
  <si>
    <t>Mixed-Use</t>
  </si>
  <si>
    <t>Education</t>
  </si>
  <si>
    <t>Science &amp; Technology</t>
  </si>
  <si>
    <t>Logistics</t>
  </si>
  <si>
    <t>Healthcare</t>
  </si>
  <si>
    <t>Government Facilities</t>
  </si>
  <si>
    <t>Roads</t>
  </si>
  <si>
    <t>Rail</t>
  </si>
  <si>
    <t>Ports</t>
  </si>
  <si>
    <t>Airports/Aviation</t>
  </si>
  <si>
    <t>Transport Tech</t>
  </si>
  <si>
    <t>Highways</t>
  </si>
  <si>
    <t>Municipal Road Networks</t>
  </si>
  <si>
    <t>Bridges</t>
  </si>
  <si>
    <t>Tunnels</t>
  </si>
  <si>
    <t>Heavy Rail</t>
  </si>
  <si>
    <t>Light Rail</t>
  </si>
  <si>
    <t>Autonomous Vehicles</t>
  </si>
  <si>
    <t>Electric Cars</t>
  </si>
  <si>
    <t>Smart Cities</t>
  </si>
  <si>
    <t>By Function</t>
  </si>
  <si>
    <t>Consulting/Engineering</t>
  </si>
  <si>
    <t>Architecture</t>
  </si>
  <si>
    <t>CEI/Inspection</t>
  </si>
  <si>
    <t>Construction Management</t>
  </si>
  <si>
    <t>Program Management</t>
  </si>
  <si>
    <t>General Construction</t>
  </si>
  <si>
    <t>E/P/C &amp; E/P/CM</t>
  </si>
  <si>
    <t>By Geography</t>
  </si>
  <si>
    <t>US</t>
  </si>
  <si>
    <t>Florida</t>
  </si>
  <si>
    <t>Texas</t>
  </si>
  <si>
    <t>California</t>
  </si>
  <si>
    <t>Canada</t>
  </si>
  <si>
    <t>Brazil</t>
  </si>
  <si>
    <t>Rest of Americas</t>
  </si>
  <si>
    <t>UK</t>
  </si>
  <si>
    <t>Russia</t>
  </si>
  <si>
    <t>Rest of Europe</t>
  </si>
  <si>
    <t>South Africa</t>
  </si>
  <si>
    <t>Rest of Africa</t>
  </si>
  <si>
    <t>China</t>
  </si>
  <si>
    <t>India</t>
  </si>
  <si>
    <t>By Customer Type</t>
  </si>
  <si>
    <t>US Federal</t>
  </si>
  <si>
    <t>US State/Municipal</t>
  </si>
  <si>
    <t>US Private</t>
  </si>
  <si>
    <t>Non-US Private</t>
  </si>
  <si>
    <t>By Project Delivery Method</t>
  </si>
  <si>
    <t>Time &amp; Materials</t>
  </si>
  <si>
    <t>Cost + Fixed Fee</t>
  </si>
  <si>
    <t>Guaranteed Maximum Price</t>
  </si>
  <si>
    <t>Firm Fixed Price</t>
  </si>
  <si>
    <t># FTEs</t>
  </si>
  <si>
    <t>Retirement</t>
  </si>
  <si>
    <t>Board of Directors</t>
  </si>
  <si>
    <t>General Compensation</t>
  </si>
  <si>
    <t>Other Compensation</t>
  </si>
  <si>
    <t>Risk Management</t>
  </si>
  <si>
    <t>Finance/Treasury/Accounting</t>
  </si>
  <si>
    <t>HR</t>
  </si>
  <si>
    <t>BD/Marketing</t>
  </si>
  <si>
    <t>Occupancy</t>
  </si>
  <si>
    <t>Health &amp; Safety</t>
  </si>
  <si>
    <t>Project Accounting/Controls/Billing</t>
  </si>
  <si>
    <t>"Admin Time" &amp; Other</t>
  </si>
  <si>
    <t>Fringe Benefits</t>
  </si>
  <si>
    <t>Payroll Tax</t>
  </si>
  <si>
    <t>Medical Costs</t>
  </si>
  <si>
    <t>ESOP Retirement Contributions</t>
  </si>
  <si>
    <t>Travel/Entertainment/Auto</t>
  </si>
  <si>
    <t>Supplies/Office Equipment</t>
  </si>
  <si>
    <t>Bad Debt</t>
  </si>
  <si>
    <t>Relocation Costs</t>
  </si>
  <si>
    <t>Unsure</t>
  </si>
  <si>
    <t>Status</t>
  </si>
  <si>
    <t>Firm Location:</t>
  </si>
  <si>
    <t>State:</t>
  </si>
  <si>
    <t>Firm Ownership:</t>
  </si>
  <si>
    <t>N/A</t>
  </si>
  <si>
    <t>United States</t>
  </si>
  <si>
    <t>United Kingdom</t>
  </si>
  <si>
    <t>Australia</t>
  </si>
  <si>
    <t>Afghanistan</t>
  </si>
  <si>
    <t>Albania</t>
  </si>
  <si>
    <t>Algeria</t>
  </si>
  <si>
    <t>Andorra</t>
  </si>
  <si>
    <t>Angola</t>
  </si>
  <si>
    <t>Anguilla</t>
  </si>
  <si>
    <t>Antigua &amp; Barbuda</t>
  </si>
  <si>
    <t>Argentina</t>
  </si>
  <si>
    <t>Armenia</t>
  </si>
  <si>
    <t>Aruba</t>
  </si>
  <si>
    <t>Austria</t>
  </si>
  <si>
    <t>Azerbaijan</t>
  </si>
  <si>
    <t>Bahamas, The</t>
  </si>
  <si>
    <t>Bahrain</t>
  </si>
  <si>
    <t>Bangladesh</t>
  </si>
  <si>
    <t>Barbados</t>
  </si>
  <si>
    <t>Belarus</t>
  </si>
  <si>
    <t>Belgium</t>
  </si>
  <si>
    <t>Belize</t>
  </si>
  <si>
    <t>Benin</t>
  </si>
  <si>
    <t>Bermuda</t>
  </si>
  <si>
    <t>Bhutan</t>
  </si>
  <si>
    <t>Bolivia</t>
  </si>
  <si>
    <t>Bosnia &amp; Herzegovina</t>
  </si>
  <si>
    <t>Botswana</t>
  </si>
  <si>
    <t>British Virgin Is.</t>
  </si>
  <si>
    <t>Brunei</t>
  </si>
  <si>
    <t>Bulgaria</t>
  </si>
  <si>
    <t>Burkina Faso</t>
  </si>
  <si>
    <t>Burma</t>
  </si>
  <si>
    <t>Burundi</t>
  </si>
  <si>
    <t>Cambodia</t>
  </si>
  <si>
    <t>Cameroon</t>
  </si>
  <si>
    <t>Cape Verde</t>
  </si>
  <si>
    <t>Cayman Islands</t>
  </si>
  <si>
    <t>Central African Rep.</t>
  </si>
  <si>
    <t>Chad</t>
  </si>
  <si>
    <t>Chile</t>
  </si>
  <si>
    <t>Colombia</t>
  </si>
  <si>
    <t>Comoros</t>
  </si>
  <si>
    <t>Congo, Dem. Rep.</t>
  </si>
  <si>
    <t>Congo, Repub.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</si>
  <si>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</si>
  <si>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</si>
  <si>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</si>
  <si>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</si>
  <si>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</si>
  <si>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</si>
  <si>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</si>
  <si>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</si>
  <si>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</si>
  <si>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</si>
  <si>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</si>
  <si>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</si>
  <si>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</si>
  <si>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</si>
  <si>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</si>
  <si>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</si>
  <si>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</si>
  <si>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</si>
  <si>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</si>
  <si>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Faroe Islands</t>
  </si>
  <si>
    <t>Fiji</t>
  </si>
  <si>
    <t>Finland</t>
  </si>
  <si>
    <t>France</t>
  </si>
  <si>
    <t>French Guiana</t>
  </si>
  <si>
    <t>French Polynesia</t>
  </si>
  <si>
    <t>Gabon</t>
  </si>
  <si>
    <t>Gambia, The</t>
  </si>
  <si>
    <t>Gaza Strip</t>
  </si>
  <si>
    <t>Georgia</t>
  </si>
  <si>
    <t>Germany</t>
  </si>
  <si>
    <t>Ghana</t>
  </si>
  <si>
    <t>Gibraltar</t>
  </si>
  <si>
    <t>Greece</t>
  </si>
  <si>
    <t>Greenland</t>
  </si>
  <si>
    <t>Grenada</t>
  </si>
  <si>
    <t>Guadeloupe</t>
  </si>
  <si>
    <t>Guatemala</t>
  </si>
  <si>
    <t>Guernsey</t>
  </si>
  <si>
    <t>Guinea</t>
  </si>
  <si>
    <t>Guinea-Bissau</t>
  </si>
  <si>
    <t>Guyana</t>
  </si>
  <si>
    <t>Haiti</t>
  </si>
  <si>
    <t>Honduras</t>
  </si>
  <si>
    <t>Hong Kong</t>
  </si>
  <si>
    <t>Hungary</t>
  </si>
  <si>
    <t>Iceland</t>
  </si>
  <si>
    <t>Indonesia</t>
  </si>
  <si>
    <t>Iran</t>
  </si>
  <si>
    <t>Iraq</t>
  </si>
  <si>
    <t>Ireland</t>
  </si>
  <si>
    <t>Isle of Man</t>
  </si>
  <si>
    <t>Israel</t>
  </si>
  <si>
    <t>Italy</t>
  </si>
  <si>
    <t>Jamaica</t>
  </si>
  <si>
    <t>Japan</t>
  </si>
  <si>
    <t>Jersey</t>
  </si>
  <si>
    <t>Jordan</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</si>
  <si>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</si>
  <si>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</si>
  <si>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</si>
  <si>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</si>
  <si>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</si>
  <si>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</si>
  <si>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</si>
  <si>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</si>
  <si>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</si>
  <si>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</si>
  <si>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</si>
  <si>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</si>
  <si>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</si>
  <si>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</si>
  <si>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</si>
  <si>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</si>
  <si>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</si>
  <si>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</si>
  <si>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</si>
  <si>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</si>
  <si>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</si>
  <si>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</si>
  <si>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</si>
  <si>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</si>
  <si>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</si>
  <si>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</si>
  <si>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</si>
  <si>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</si>
  <si>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</si>
  <si>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</si>
  <si>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 St.</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</si>
  <si>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</si>
  <si>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</si>
  <si>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</si>
  <si>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</si>
  <si>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</si>
  <si>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</si>
  <si>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</si>
  <si>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</si>
  <si>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</si>
  <si>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</si>
  <si>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</si>
  <si>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</si>
  <si>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</si>
  <si>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</si>
  <si>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</si>
  <si>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</si>
  <si>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 Mariana Islands</t>
  </si>
  <si>
    <t>Norway</t>
  </si>
  <si>
    <t>Oman</t>
  </si>
  <si>
    <t>Pakistan</t>
  </si>
  <si>
    <t>Palau</t>
  </si>
  <si>
    <t>Panama</t>
  </si>
  <si>
    <t>Papua New Guinea</t>
  </si>
  <si>
    <t>Paraguay</t>
  </si>
  <si>
    <t>Peru</t>
  </si>
  <si>
    <t>Philippines</t>
  </si>
  <si>
    <t>Poland</t>
  </si>
  <si>
    <t>Portugal</t>
  </si>
  <si>
    <t>Qatar</t>
  </si>
  <si>
    <t>Reunion</t>
  </si>
  <si>
    <t>Romania</t>
  </si>
  <si>
    <t>Rwanda</t>
  </si>
  <si>
    <t>Saint Helena</t>
  </si>
  <si>
    <t>Saint Kitts &amp; Nevis</t>
  </si>
  <si>
    <t>Saint Lucia</t>
  </si>
  <si>
    <t>St Pierre &amp; Miquelon</t>
  </si>
  <si>
    <t>Saint Vincent and the Grenadines</t>
  </si>
  <si>
    <t>Samoa</t>
  </si>
  <si>
    <t>San Marino</t>
  </si>
  <si>
    <t>Sao Tome &amp; Principe</t>
  </si>
  <si>
    <t>Saudi Arabia</t>
  </si>
  <si>
    <t>Senegal</t>
  </si>
  <si>
    <t>Serbia</t>
  </si>
  <si>
    <t>Seychelles</t>
  </si>
  <si>
    <t>Sierra Leone</t>
  </si>
  <si>
    <t>Singapore</t>
  </si>
  <si>
    <t>Slovakia</t>
  </si>
  <si>
    <t>Slovenia</t>
  </si>
  <si>
    <t>Solomon Islands</t>
  </si>
  <si>
    <t>Somalia</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</si>
  <si>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</si>
  <si>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</si>
  <si>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</si>
  <si>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</si>
  <si>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</si>
  <si>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</si>
  <si>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</si>
  <si>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</si>
  <si>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</si>
  <si>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</si>
  <si>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</si>
  <si>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</si>
  <si>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</si>
  <si>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</si>
  <si>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</si>
  <si>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</si>
  <si>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</si>
  <si>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</si>
  <si>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Turks &amp; Caicos Is</t>
  </si>
  <si>
    <t>Tuvalu</t>
  </si>
  <si>
    <t>Uganda</t>
  </si>
  <si>
    <t>Ukraine</t>
  </si>
  <si>
    <t>United Arab Emirates</t>
  </si>
  <si>
    <t>Uruguay</t>
  </si>
  <si>
    <t>Uzbekistan</t>
  </si>
  <si>
    <t>Vanuatu</t>
  </si>
  <si>
    <t>Venezuela</t>
  </si>
  <si>
    <t>Vietnam</t>
  </si>
  <si>
    <t>Virgin Islands</t>
  </si>
  <si>
    <t>Wallis and Futuna</t>
  </si>
  <si>
    <t>West Bank</t>
  </si>
  <si>
    <t>Western Sahara</t>
  </si>
  <si>
    <t>Yemen</t>
  </si>
  <si>
    <t>Zambia</t>
  </si>
  <si>
    <t>Zimbabwe</t>
  </si>
  <si>
    <t>Subsidiary of Public</t>
  </si>
  <si>
    <t>Private</t>
  </si>
  <si>
    <t>Public</t>
  </si>
  <si>
    <t>C-Corp</t>
  </si>
  <si>
    <t>S-Corp</t>
  </si>
  <si>
    <t>Partnership</t>
  </si>
  <si>
    <t>LLC</t>
  </si>
  <si>
    <t>Type of Private:</t>
  </si>
  <si>
    <t>Yes</t>
  </si>
  <si>
    <t>No</t>
  </si>
  <si>
    <t>Currency Used:</t>
  </si>
  <si>
    <t>USD</t>
  </si>
  <si>
    <t>EUR</t>
  </si>
  <si>
    <t>GBP</t>
  </si>
  <si>
    <t>AUD</t>
  </si>
  <si>
    <t>JPY</t>
  </si>
  <si>
    <t>CNH</t>
  </si>
  <si>
    <t>CHF</t>
  </si>
  <si>
    <t>January</t>
  </si>
  <si>
    <t>February</t>
  </si>
  <si>
    <t>March</t>
  </si>
  <si>
    <t>April</t>
  </si>
  <si>
    <t>May</t>
  </si>
  <si>
    <t>June</t>
  </si>
  <si>
    <t>July</t>
  </si>
  <si>
    <t>August</t>
  </si>
  <si>
    <t>September</t>
  </si>
  <si>
    <t>October</t>
  </si>
  <si>
    <t>November</t>
  </si>
  <si>
    <t>December</t>
  </si>
  <si>
    <t>Contact :</t>
  </si>
  <si>
    <t>Name:</t>
  </si>
  <si>
    <t>Email:</t>
  </si>
  <si>
    <t>What are your firm’s key capabilities/core competencies?</t>
  </si>
  <si>
    <t xml:space="preserve"> </t>
  </si>
  <si>
    <t>Total Project Write-Offs</t>
  </si>
  <si>
    <t>Instructions</t>
  </si>
  <si>
    <t>Net Revenue Multiplier</t>
  </si>
  <si>
    <t>$-Based Utilization Rate</t>
  </si>
  <si>
    <t>Net Revenue?</t>
  </si>
  <si>
    <t>EBIBT?</t>
  </si>
  <si>
    <t>1 Year Ago?</t>
  </si>
  <si>
    <t>6 Months Ago?</t>
  </si>
  <si>
    <t>Do you assume construction risk (e.g., via design/build, P3, as a CM/GC, etc.)?</t>
  </si>
  <si>
    <t>Proposal "Hit Rate"?</t>
  </si>
  <si>
    <t>Fee "Capture Rate"?</t>
  </si>
  <si>
    <t>Internal/'Organic"</t>
  </si>
  <si>
    <t>Design/Build?</t>
  </si>
  <si>
    <t>P3?</t>
  </si>
  <si>
    <t>Other forms of assumed risk?</t>
  </si>
  <si>
    <t>P3 Infrastructure?</t>
  </si>
  <si>
    <t>Real Estate Projects?</t>
  </si>
  <si>
    <t>Other forms of project equity?</t>
  </si>
  <si>
    <t>Via a reduced fee upfront for “equity-like” payments after project is completed?</t>
  </si>
  <si>
    <t>Cash (&amp; equivalent)</t>
  </si>
  <si>
    <t>Accounts Receivable (Billed)</t>
  </si>
  <si>
    <t>Accounts Receivable (Unbilled/WIP)</t>
  </si>
  <si>
    <t>Total Assets</t>
  </si>
  <si>
    <t>Accounts Payable and Accrued Expenses</t>
  </si>
  <si>
    <t>Total Debt</t>
  </si>
  <si>
    <t>"Common" Debt</t>
  </si>
  <si>
    <t>Total Liabilities</t>
  </si>
  <si>
    <t>Equity (Book Value)</t>
  </si>
  <si>
    <t>Total Liabilities &amp; Equity</t>
  </si>
  <si>
    <t>Survey Input</t>
  </si>
  <si>
    <t>Accounts Payable</t>
  </si>
  <si>
    <t>Offset to Accounts Receivable</t>
  </si>
  <si>
    <t>Does your firm use accrual or cash accounting for tax purposes?</t>
  </si>
  <si>
    <t>Implied Internal Equity Value:</t>
  </si>
  <si>
    <t>Do you use an outside appraiser for internal ownership transition (“IOT”) valuations?</t>
  </si>
  <si>
    <t>=</t>
  </si>
  <si>
    <t>+</t>
  </si>
  <si>
    <t>Minority Interest Rate</t>
  </si>
  <si>
    <t>Illiquidity Discount Rate</t>
  </si>
  <si>
    <t>Environmental</t>
  </si>
  <si>
    <t>Land Dev / Planning</t>
  </si>
  <si>
    <t>Mining/Minerals</t>
  </si>
  <si>
    <t>Geotechnical/Materials</t>
  </si>
  <si>
    <t>Telecom/IT</t>
  </si>
  <si>
    <t>Airport Design</t>
  </si>
  <si>
    <t>Passenger Terminals</t>
  </si>
  <si>
    <t>Runway Design</t>
  </si>
  <si>
    <t>Aviation Consulting</t>
  </si>
  <si>
    <t>Remedial Env. Construction</t>
  </si>
  <si>
    <t>Ops &amp; Maintenance</t>
  </si>
  <si>
    <t>Geotech Lab/Material Testing</t>
  </si>
  <si>
    <t>Survey/Geomatics/Geospatial</t>
  </si>
  <si>
    <t>Guaranteed Max. Price</t>
  </si>
  <si>
    <t>Breakout of US</t>
  </si>
  <si>
    <t>Breakout of OUS</t>
  </si>
  <si>
    <t>(I) New England</t>
  </si>
  <si>
    <t>(II) NY/NJ</t>
  </si>
  <si>
    <t>(III) Mid-Atlantic</t>
  </si>
  <si>
    <t>(IV) Southeast</t>
  </si>
  <si>
    <t>Rest of Southeast</t>
  </si>
  <si>
    <t>(V) Great Lakes</t>
  </si>
  <si>
    <t>(VI) South/Gulf Coast</t>
  </si>
  <si>
    <t>Rest of South/Gulf Coast</t>
  </si>
  <si>
    <t>(VII) Midwest</t>
  </si>
  <si>
    <t>(VIII) Rockies</t>
  </si>
  <si>
    <t>Rest of Southwest</t>
  </si>
  <si>
    <t>(IX) Southwest</t>
  </si>
  <si>
    <t>(X) Northwest</t>
  </si>
  <si>
    <t>(I) Canada</t>
  </si>
  <si>
    <t>(II) Americas</t>
  </si>
  <si>
    <t>(III) Europe</t>
  </si>
  <si>
    <t>(IV) Central/West Asia</t>
  </si>
  <si>
    <t>(V) Africa</t>
  </si>
  <si>
    <t>(VI) South/East Asia</t>
  </si>
  <si>
    <t>Rest of South/East Asia</t>
  </si>
  <si>
    <t>(VII) Oceania</t>
  </si>
  <si>
    <t>"6+ Buckets"</t>
  </si>
  <si>
    <r>
      <rPr>
        <i/>
        <sz val="14"/>
        <color theme="1"/>
        <rFont val="Calibri"/>
        <family val="2"/>
        <scheme val="minor"/>
      </rPr>
      <t xml:space="preserve">Subcategory: </t>
    </r>
    <r>
      <rPr>
        <sz val="14"/>
        <color theme="1"/>
        <rFont val="Calibri"/>
        <family val="2"/>
        <scheme val="minor"/>
      </rPr>
      <t>Liability Insurance</t>
    </r>
  </si>
  <si>
    <t>MIS/Communications/IT</t>
  </si>
  <si>
    <r>
      <rPr>
        <i/>
        <sz val="14"/>
        <color theme="1"/>
        <rFont val="Calibri"/>
        <family val="2"/>
        <scheme val="minor"/>
      </rPr>
      <t xml:space="preserve">Subcategory: </t>
    </r>
    <r>
      <rPr>
        <sz val="14"/>
        <color theme="1"/>
        <rFont val="Calibri"/>
        <family val="2"/>
        <scheme val="minor"/>
      </rPr>
      <t>Annual Software Fees</t>
    </r>
  </si>
  <si>
    <r>
      <rPr>
        <i/>
        <sz val="14"/>
        <color theme="1"/>
        <rFont val="Calibri"/>
        <family val="2"/>
        <scheme val="minor"/>
      </rPr>
      <t xml:space="preserve">Subcategory: </t>
    </r>
    <r>
      <rPr>
        <sz val="14"/>
        <color theme="1"/>
        <rFont val="Calibri"/>
        <family val="2"/>
        <scheme val="minor"/>
      </rPr>
      <t>Training/Leadership Dev.</t>
    </r>
  </si>
  <si>
    <t>Office of CEO/Chair/Board</t>
  </si>
  <si>
    <r>
      <rPr>
        <i/>
        <sz val="14"/>
        <color theme="1"/>
        <rFont val="Calibri"/>
        <family val="2"/>
        <scheme val="minor"/>
      </rPr>
      <t xml:space="preserve">Subcategory: </t>
    </r>
    <r>
      <rPr>
        <sz val="14"/>
        <color theme="1"/>
        <rFont val="Calibri"/>
        <family val="2"/>
        <scheme val="minor"/>
      </rPr>
      <t>Bid/Proposal</t>
    </r>
  </si>
  <si>
    <t>$ Indirect Labor</t>
  </si>
  <si>
    <t>$ Non-Labor</t>
  </si>
  <si>
    <t>Paid Time Off</t>
  </si>
  <si>
    <t>Depreciation &amp; Amortization (Total)</t>
  </si>
  <si>
    <t>Civic Activities/Charities/Political Contributions</t>
  </si>
  <si>
    <t>How many offices does your firm have:</t>
  </si>
  <si>
    <t>In total?</t>
  </si>
  <si>
    <t>With &lt;25 FTEs?</t>
  </si>
  <si>
    <t>Over the past 12 months, how many offices has your firm:</t>
  </si>
  <si>
    <t>Opened?</t>
  </si>
  <si>
    <t>Closed?</t>
  </si>
  <si>
    <t>What is the total square footage of office space your firm has?</t>
  </si>
  <si>
    <t>Acquisition History</t>
  </si>
  <si>
    <t>Very Successful/Successful</t>
  </si>
  <si>
    <t>Marginally Successful/Neutral</t>
  </si>
  <si>
    <t>Disappointing/Unsuccessful</t>
  </si>
  <si>
    <t>Too Early to Tell</t>
  </si>
  <si>
    <t>How many total members are on the Board of Directors?</t>
  </si>
  <si>
    <t>How many members on the Board are "outside members"?</t>
  </si>
  <si>
    <t>By an ESOP/ESOF/ESOT/KSOP?</t>
  </si>
  <si>
    <t>Directly by Employees (Current &amp; Past)?</t>
  </si>
  <si>
    <t>By Other Owners?</t>
  </si>
  <si>
    <t>What % of your firm's stock is owned:</t>
  </si>
  <si>
    <t>By Outside Investors?</t>
  </si>
  <si>
    <t>Average:</t>
  </si>
  <si>
    <r>
      <rPr>
        <i/>
        <u/>
        <sz val="14"/>
        <color theme="1"/>
        <rFont val="Calibri"/>
        <family val="2"/>
        <scheme val="minor"/>
      </rPr>
      <t>Weighted</t>
    </r>
    <r>
      <rPr>
        <i/>
        <sz val="14"/>
        <color theme="1"/>
        <rFont val="Calibri"/>
        <family val="2"/>
        <scheme val="minor"/>
      </rPr>
      <t xml:space="preserve"> Average:</t>
    </r>
  </si>
  <si>
    <t>To Employees?</t>
  </si>
  <si>
    <t>To Firm/Firm Treasury?</t>
  </si>
  <si>
    <r>
      <t xml:space="preserve">As a % of total shares, how many shares do you estimate </t>
    </r>
    <r>
      <rPr>
        <b/>
        <u/>
        <sz val="14"/>
        <color theme="1"/>
        <rFont val="Calibri"/>
        <family val="2"/>
        <scheme val="minor"/>
      </rPr>
      <t>will be sold</t>
    </r>
    <r>
      <rPr>
        <b/>
        <sz val="14"/>
        <color theme="1"/>
        <rFont val="Calibri"/>
        <family val="2"/>
        <scheme val="minor"/>
      </rPr>
      <t xml:space="preserve"> by exiting shareholders in the </t>
    </r>
    <r>
      <rPr>
        <b/>
        <u/>
        <sz val="14"/>
        <color theme="1"/>
        <rFont val="Calibri"/>
        <family val="2"/>
        <scheme val="minor"/>
      </rPr>
      <t>next 5 years</t>
    </r>
    <r>
      <rPr>
        <b/>
        <sz val="14"/>
        <color theme="1"/>
        <rFont val="Calibri"/>
        <family val="2"/>
        <scheme val="minor"/>
      </rPr>
      <t>:</t>
    </r>
  </si>
  <si>
    <r>
      <t xml:space="preserve">As a % of total shares, how many shares </t>
    </r>
    <r>
      <rPr>
        <b/>
        <u/>
        <sz val="14"/>
        <color theme="1"/>
        <rFont val="Calibri"/>
        <family val="2"/>
        <scheme val="minor"/>
      </rPr>
      <t>were sold</t>
    </r>
    <r>
      <rPr>
        <b/>
        <sz val="14"/>
        <color theme="1"/>
        <rFont val="Calibri"/>
        <family val="2"/>
        <scheme val="minor"/>
      </rPr>
      <t xml:space="preserve"> by exiting shareholders in the </t>
    </r>
    <r>
      <rPr>
        <b/>
        <u/>
        <sz val="14"/>
        <color theme="1"/>
        <rFont val="Calibri"/>
        <family val="2"/>
        <scheme val="minor"/>
      </rPr>
      <t>past 5 years</t>
    </r>
    <r>
      <rPr>
        <b/>
        <sz val="14"/>
        <color theme="1"/>
        <rFont val="Calibri"/>
        <family val="2"/>
        <scheme val="minor"/>
      </rPr>
      <t>:</t>
    </r>
  </si>
  <si>
    <t>Past 12 Months?</t>
  </si>
  <si>
    <t>Past 5 Years?</t>
  </si>
  <si>
    <t>Next 12 Months?</t>
  </si>
  <si>
    <t>Next 5 Years?</t>
  </si>
  <si>
    <t>Fast Growth (&gt;7%)</t>
  </si>
  <si>
    <t>Slow Growth (&lt;7%)</t>
  </si>
  <si>
    <t>No Growth</t>
  </si>
  <si>
    <t>Shrinking</t>
  </si>
  <si>
    <t>Not Sure</t>
  </si>
  <si>
    <t>Mid (5-10% EBIT margin)</t>
  </si>
  <si>
    <t>High (&gt;10% EBIT margin)</t>
  </si>
  <si>
    <t>Low (&lt;5% EBIT Margin</t>
  </si>
  <si>
    <t>Industry Growth</t>
  </si>
  <si>
    <t>Firm Needs</t>
  </si>
  <si>
    <r>
      <t xml:space="preserve">What are your </t>
    </r>
    <r>
      <rPr>
        <b/>
        <u/>
        <sz val="14"/>
        <color theme="1"/>
        <rFont val="Calibri"/>
        <family val="2"/>
        <scheme val="minor"/>
      </rPr>
      <t>key concerns and/or top threats</t>
    </r>
    <r>
      <rPr>
        <b/>
        <sz val="14"/>
        <color theme="1"/>
        <rFont val="Calibri"/>
        <family val="2"/>
        <scheme val="minor"/>
      </rPr>
      <t xml:space="preserve"> as CEO in the next year?</t>
    </r>
  </si>
  <si>
    <r>
      <t xml:space="preserve">What are your </t>
    </r>
    <r>
      <rPr>
        <b/>
        <u/>
        <sz val="14"/>
        <color theme="1"/>
        <rFont val="Calibri"/>
        <family val="2"/>
        <scheme val="minor"/>
      </rPr>
      <t>key priorities and/or top goals</t>
    </r>
    <r>
      <rPr>
        <b/>
        <sz val="14"/>
        <color theme="1"/>
        <rFont val="Calibri"/>
        <family val="2"/>
        <scheme val="minor"/>
      </rPr>
      <t xml:space="preserve"> as CEO in the next year?</t>
    </r>
  </si>
  <si>
    <t>Country:</t>
  </si>
  <si>
    <t>Public/Private:</t>
  </si>
  <si>
    <t>Additional details and examples of each category can be found in the glossary.</t>
  </si>
  <si>
    <t>Location</t>
  </si>
  <si>
    <t>Do you own equity in any projects (e.g., via P3 infrastructure, in real estate projects, etc.)?</t>
  </si>
  <si>
    <r>
      <t xml:space="preserve">What % of </t>
    </r>
    <r>
      <rPr>
        <b/>
        <u/>
        <sz val="14"/>
        <color theme="1"/>
        <rFont val="Calibri"/>
        <family val="2"/>
        <scheme val="minor"/>
      </rPr>
      <t>current</t>
    </r>
    <r>
      <rPr>
        <b/>
        <sz val="14"/>
        <color theme="1"/>
        <rFont val="Calibri"/>
        <family val="2"/>
        <scheme val="minor"/>
      </rPr>
      <t xml:space="preserve"> employees own stock in the firm (</t>
    </r>
    <r>
      <rPr>
        <b/>
        <u/>
        <sz val="14"/>
        <color theme="1"/>
        <rFont val="Calibri"/>
        <family val="2"/>
        <scheme val="minor"/>
      </rPr>
      <t xml:space="preserve">excluding </t>
    </r>
    <r>
      <rPr>
        <b/>
        <sz val="14"/>
        <color theme="1"/>
        <rFont val="Calibri"/>
        <family val="2"/>
        <scheme val="minor"/>
      </rPr>
      <t>via an ESOP)?</t>
    </r>
  </si>
  <si>
    <t>Minority</t>
  </si>
  <si>
    <t>Have been laid off ("involuntary turnover")?</t>
  </si>
  <si>
    <t>Have voluntarily left ("voluntary turnover")?</t>
  </si>
  <si>
    <t>Have retired?</t>
  </si>
  <si>
    <t>Have been hired?</t>
  </si>
  <si>
    <t>Do you conduct exit interviews of employees who voluntarily leave the firm?</t>
  </si>
  <si>
    <t>Senior Managers &amp; Above</t>
  </si>
  <si>
    <t>Does your firm have a diversity improvement initiative?</t>
  </si>
  <si>
    <t>All employees?</t>
  </si>
  <si>
    <t>In a typical year, what % of employees get a bonus of more than $2,000?</t>
  </si>
  <si>
    <t>Top 5 Compensation</t>
  </si>
  <si>
    <t>#5</t>
  </si>
  <si>
    <t>Title:</t>
  </si>
  <si>
    <t>Cash Bonus:</t>
  </si>
  <si>
    <t>Other Compensation:</t>
  </si>
  <si>
    <t>Approx. % Ownership of Firm:</t>
  </si>
  <si>
    <t>#2</t>
  </si>
  <si>
    <t>#3</t>
  </si>
  <si>
    <t>#4</t>
  </si>
  <si>
    <t>Public/Private</t>
  </si>
  <si>
    <t>Survey Form Value</t>
  </si>
  <si>
    <t>75 years old and older</t>
  </si>
  <si>
    <t>35-54 years old</t>
  </si>
  <si>
    <t>55-74 years old</t>
  </si>
  <si>
    <t>18-34 years old</t>
  </si>
  <si>
    <t>Notes</t>
  </si>
  <si>
    <t>What percentage of this investment is in:</t>
  </si>
  <si>
    <t>Who at your firm is responsible for technology innovation and integration?</t>
  </si>
  <si>
    <t>Role/Title:</t>
  </si>
  <si>
    <r>
      <t xml:space="preserve">How many FTEs are dedicated </t>
    </r>
    <r>
      <rPr>
        <b/>
        <u/>
        <sz val="14"/>
        <color theme="1"/>
        <rFont val="Calibri"/>
        <family val="2"/>
        <scheme val="minor"/>
      </rPr>
      <t>full-time</t>
    </r>
    <r>
      <rPr>
        <b/>
        <sz val="14"/>
        <color theme="1"/>
        <rFont val="Calibri"/>
        <family val="2"/>
        <scheme val="minor"/>
      </rPr>
      <t xml:space="preserve"> to innovation and technology development/integration?</t>
    </r>
  </si>
  <si>
    <t>Innovation, R&amp;D, and Technology</t>
  </si>
  <si>
    <r>
      <t xml:space="preserve">Have you acquired any businesses in the past 5 years </t>
    </r>
    <r>
      <rPr>
        <b/>
        <u/>
        <sz val="14"/>
        <color theme="1"/>
        <rFont val="Calibri"/>
        <family val="2"/>
        <scheme val="minor"/>
      </rPr>
      <t>primarily to add specific technology/innovative capabilities</t>
    </r>
    <r>
      <rPr>
        <b/>
        <sz val="14"/>
        <color theme="1"/>
        <rFont val="Calibri"/>
        <family val="2"/>
        <scheme val="minor"/>
      </rPr>
      <t>?</t>
    </r>
  </si>
  <si>
    <t>What technology and/or capabilities did you add through these acquisitions?</t>
  </si>
  <si>
    <t>Client-Facing Software?</t>
  </si>
  <si>
    <t>Internal Business Process Transformation?</t>
  </si>
  <si>
    <t>Client-Facing Hardware?</t>
  </si>
  <si>
    <t>Proprietary Engineering Process Technology/Scientific Innovation?</t>
  </si>
  <si>
    <t>Other Areas?</t>
  </si>
  <si>
    <r>
      <rPr>
        <i/>
        <u/>
        <sz val="14"/>
        <rFont val="Calibri"/>
        <family val="2"/>
        <scheme val="minor"/>
      </rPr>
      <t>Currently</t>
    </r>
    <r>
      <rPr>
        <i/>
        <sz val="14"/>
        <rFont val="Calibri"/>
        <family val="2"/>
        <scheme val="minor"/>
      </rPr>
      <t xml:space="preserve"> have?</t>
    </r>
  </si>
  <si>
    <r>
      <t xml:space="preserve">Have </t>
    </r>
    <r>
      <rPr>
        <i/>
        <u/>
        <sz val="14"/>
        <rFont val="Calibri"/>
        <family val="2"/>
        <scheme val="minor"/>
      </rPr>
      <t>12 months ago</t>
    </r>
    <r>
      <rPr>
        <i/>
        <sz val="14"/>
        <rFont val="Calibri"/>
        <family val="2"/>
        <scheme val="minor"/>
      </rPr>
      <t>?</t>
    </r>
  </si>
  <si>
    <r>
      <t xml:space="preserve">All employees </t>
    </r>
    <r>
      <rPr>
        <i/>
        <u/>
        <sz val="14"/>
        <color theme="1"/>
        <rFont val="Calibri"/>
        <family val="2"/>
        <scheme val="minor"/>
      </rPr>
      <t>under</t>
    </r>
    <r>
      <rPr>
        <i/>
        <sz val="14"/>
        <color theme="1"/>
        <rFont val="Calibri"/>
        <family val="2"/>
        <scheme val="minor"/>
      </rPr>
      <t xml:space="preserve"> 35 years old</t>
    </r>
  </si>
  <si>
    <r>
      <t xml:space="preserve">All employees </t>
    </r>
    <r>
      <rPr>
        <i/>
        <u/>
        <sz val="14"/>
        <color theme="1"/>
        <rFont val="Calibri"/>
        <family val="2"/>
        <scheme val="minor"/>
      </rPr>
      <t>over</t>
    </r>
    <r>
      <rPr>
        <i/>
        <sz val="14"/>
        <color theme="1"/>
        <rFont val="Calibri"/>
        <family val="2"/>
        <scheme val="minor"/>
      </rPr>
      <t xml:space="preserve"> 35 years old</t>
    </r>
  </si>
  <si>
    <t>Long Term Compensation:</t>
  </si>
  <si>
    <t>Details</t>
  </si>
  <si>
    <t>Glossary</t>
  </si>
  <si>
    <t>The following defines terms, categories, and calculations as used in this survey.</t>
  </si>
  <si>
    <t>ESOP/ESOF/ESOT/KSOP</t>
  </si>
  <si>
    <t>The total amount of sales recognized for a reporting period, prior to any deductions.</t>
  </si>
  <si>
    <t>Profit from "Pass-Throughs"</t>
  </si>
  <si>
    <t>Direct Labor Cost</t>
  </si>
  <si>
    <t>Private Ownership Types</t>
  </si>
  <si>
    <t>Out-of-pocket expenses include such items as travel and entertainment and photocopying charges.  If a customer agrees to reimburse you for these expenses, then you can record the reimbursed expenses as revenue.</t>
  </si>
  <si>
    <t>Earnings before interest, tax, depreciation, and amortization.</t>
  </si>
  <si>
    <t>Overhead Costs</t>
  </si>
  <si>
    <t>Non-Billable Personnel</t>
  </si>
  <si>
    <t>Billable Personnel</t>
  </si>
  <si>
    <t>Communication / IT</t>
  </si>
  <si>
    <t>Finance / Treasury / Accounting</t>
  </si>
  <si>
    <t>BD / Marketing</t>
  </si>
  <si>
    <t>Office of CEO / Chair / BoD</t>
  </si>
  <si>
    <t>Costs related to health and safety training as well as equipment and personnel.</t>
  </si>
  <si>
    <t>Costs related to the functioning of information technology infrastructure (internet security, computers, phones, software, etc.), as well as IT personnel.</t>
  </si>
  <si>
    <t>Costs related to finance department. This could include both indirect labor costs (the CFO, for example), as well as non-labor costs (like accounting software).</t>
  </si>
  <si>
    <t>Costs related to the building of and submitting of proposals to win projects, such as sales software, marketing and advertising materials, and indirect labor.</t>
  </si>
  <si>
    <t>Backlog Change</t>
  </si>
  <si>
    <t>Proposal "Hit Rate"</t>
  </si>
  <si>
    <t>Fee "Capture Rate"</t>
  </si>
  <si>
    <t>Assumed Construction Risk</t>
  </si>
  <si>
    <t>MSA / IDIQ / Multi-Project Agreement</t>
  </si>
  <si>
    <t>Internal Net Rev. Growth Rate</t>
  </si>
  <si>
    <t>The value of all fixed assets held by a person or company based on the original purchase price plus any improvements, minus any accumulated depreciation of the assets and the total of any liabilities against those assets.</t>
  </si>
  <si>
    <t>Non-physical assets, such as licenses, trademarks, franchises, customer lists, unpatented technology, goodwill, etc.</t>
  </si>
  <si>
    <t>A deferred tax liability is a tax that is assessed or is due for the current period but has not yet been paid. The deferral comes from the difference in timing between when the tax is accrued and when the tax is paid.</t>
  </si>
  <si>
    <t>A debt-like form of financing provided by shareholders.</t>
  </si>
  <si>
    <t>Typical types of "common" debt include debts to banks, mortgages, capital leases, etc.</t>
  </si>
  <si>
    <t>Includes general planning/design, operations/maintenance, infrastructure connections, closure/rehabilitation, etc. as they relate to mining of coal, gold, copper, iron, and other metals/minerals.</t>
  </si>
  <si>
    <t>Includes network analysis/optimization, technology &amp; equipment, connectivity and network design, underwater cables, etc.</t>
  </si>
  <si>
    <t>Includes plant and equipment design, process optimization, testing and risk assessment, etc. for manufacturing/fabrication facilities.</t>
  </si>
  <si>
    <t>Includes exploration, extraction, upstream processing, etc.</t>
  </si>
  <si>
    <t>Includes mapping/surveying, satellite imagery analysis, land development plans, land use analysis, urban planning services, etc.</t>
  </si>
  <si>
    <t>Includes water distribution, wastewater collection, wastewater treatment, clean water extraction/storage, etc.</t>
  </si>
  <si>
    <t>Includes feasibility, urban planning, architecture, structural engineering, interior design, acoustics, indoor air quality, permitting &amp; testing, etc. for general building. Split by building purpose.</t>
  </si>
  <si>
    <t>Remedial (Env.) Construction</t>
  </si>
  <si>
    <t>Customer pays provider a negotiated fee that is fixed at the inception of the contract. The fixed fee does not vary with actual cost but may be adjusted as a result of changes in the work to be performed under the contract.</t>
  </si>
  <si>
    <t>Customer pays provider for actual costs incurred plus a fixed fee, subject to a ceiling price.</t>
  </si>
  <si>
    <t>Long-Term Compensation</t>
  </si>
  <si>
    <t>Includes current annual compensation value of any significant Stock Bonus, Stock Options, SARs/Phantom shares, Deferred Compensation, etc.</t>
  </si>
  <si>
    <t>Purpose</t>
  </si>
  <si>
    <t>Structure</t>
  </si>
  <si>
    <t>These tabs have two purposes:</t>
  </si>
  <si>
    <t>1. Connect this survey file to the CEO Survey system (e.g., CRUD+Import Tool, databases, etc.)</t>
  </si>
  <si>
    <t>2. Handle backup calculations for the completion of the survey.</t>
  </si>
  <si>
    <t>Dropdowns</t>
  </si>
  <si>
    <t>Outlook Calcs</t>
  </si>
  <si>
    <t>This tab contains the dropdown menus used throughout the survey for data validation purposes.</t>
  </si>
  <si>
    <t>These tabs are hidden from users completing the survey.</t>
  </si>
  <si>
    <t>the data point's location is indicated in the "Location" column, which allows for the retrieval of the entered value in the "Survey Form Value" column.</t>
  </si>
  <si>
    <r>
      <rPr>
        <b/>
        <sz val="11"/>
        <color rgb="FFC00000"/>
        <rFont val="Calibri"/>
        <family val="2"/>
        <scheme val="minor"/>
      </rPr>
      <t>Updates to this tab should be rare.</t>
    </r>
    <r>
      <rPr>
        <b/>
        <sz val="11"/>
        <color theme="1"/>
        <rFont val="Calibri"/>
        <family val="2"/>
        <scheme val="minor"/>
      </rPr>
      <t xml:space="preserve"> </t>
    </r>
    <r>
      <rPr>
        <sz val="11"/>
        <color theme="1"/>
        <rFont val="Calibri"/>
        <family val="2"/>
        <scheme val="minor"/>
      </rPr>
      <t>This tab will require updating in the following circumstances:</t>
    </r>
  </si>
  <si>
    <r>
      <rPr>
        <b/>
        <u/>
        <sz val="11"/>
        <rFont val="Calibri"/>
        <family val="2"/>
        <scheme val="minor"/>
      </rPr>
      <t>Use Case 1</t>
    </r>
    <r>
      <rPr>
        <b/>
        <sz val="11"/>
        <rFont val="Calibri"/>
        <family val="2"/>
        <scheme val="minor"/>
      </rPr>
      <t>: Restore a Broken Link</t>
    </r>
  </si>
  <si>
    <t>2. There is an error in the "Survey Form Value" column which requires correction. This would mean that the table is not correctly interpreting survey inputs.</t>
  </si>
  <si>
    <t>Data</t>
  </si>
  <si>
    <t>If survey data is not piping through the CRUD+Import tool correctly (for example, when importing a survey, the survey form in the CRUD+Import tool is not correctly populated, or populated at all), there may be a broken link. To resolve:</t>
  </si>
  <si>
    <t>1. Locate the data field in the table using its ID and/or Alias.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</si>
  <si>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t>
    </r>
  </si>
  <si>
    <r>
      <t>3. In the "Location" column (</t>
    </r>
    <r>
      <rPr>
        <i/>
        <sz val="11"/>
        <color rgb="FF3333FF"/>
        <rFont val="Calibri"/>
        <family val="2"/>
        <scheme val="minor"/>
      </rPr>
      <t>blue font</t>
    </r>
    <r>
      <rPr>
        <i/>
        <sz val="11"/>
        <color theme="1"/>
        <rFont val="Calibri"/>
        <family val="2"/>
        <scheme val="minor"/>
      </rPr>
      <t xml:space="preserve">), reset the connection by changing the formula to =CELL("address", </t>
    </r>
    <r>
      <rPr>
        <b/>
        <sz val="11"/>
        <color theme="5"/>
        <rFont val="Calibri"/>
        <family val="2"/>
        <scheme val="minor"/>
      </rPr>
      <t>correct_cell</t>
    </r>
    <r>
      <rPr>
        <i/>
        <sz val="11"/>
        <color theme="1"/>
        <rFont val="Calibri"/>
        <family val="2"/>
        <scheme val="minor"/>
      </rPr>
      <t>).</t>
    </r>
  </si>
  <si>
    <t>If this is done properly, the correct value should show up in the column "Survey Form Value".</t>
  </si>
  <si>
    <r>
      <rPr>
        <b/>
        <u/>
        <sz val="11"/>
        <rFont val="Calibri"/>
        <family val="2"/>
        <scheme val="minor"/>
      </rPr>
      <t>Use Case 2</t>
    </r>
    <r>
      <rPr>
        <b/>
        <sz val="11"/>
        <rFont val="Calibri"/>
        <family val="2"/>
        <scheme val="minor"/>
      </rPr>
      <t>: Fix a Broken Formula</t>
    </r>
  </si>
  <si>
    <t>However, in some cases, a more complex formula is required. For example, in a set of questions asking for a % breakout, if a respondent enters 100% for one choice, we want to fill in 0 for all fields left blank.</t>
  </si>
  <si>
    <r>
      <t xml:space="preserve">If a formula is using incorrect logic, you can update it simply by changing the formula in the "Survey Form Value" column. </t>
    </r>
    <r>
      <rPr>
        <b/>
        <sz val="11"/>
        <color rgb="FFC00000"/>
        <rFont val="Calibri"/>
        <family val="2"/>
        <scheme val="minor"/>
      </rPr>
      <t>It is recommended that you test out various survey inputs in the main form to ensure that the correct output is given before saving.</t>
    </r>
  </si>
  <si>
    <r>
      <rPr>
        <b/>
        <u/>
        <sz val="11"/>
        <rFont val="Calibri"/>
        <family val="2"/>
        <scheme val="minor"/>
      </rPr>
      <t>Use Case 3</t>
    </r>
    <r>
      <rPr>
        <b/>
        <sz val="11"/>
        <rFont val="Calibri"/>
        <family val="2"/>
        <scheme val="minor"/>
      </rPr>
      <t>: Add a New Field</t>
    </r>
  </si>
  <si>
    <t>This use case is essentially a combination of (1) and (2) above:</t>
  </si>
  <si>
    <t>2. Locate the cell in the survey form that should be linked to the data field and follow instructions for (1) above.</t>
  </si>
  <si>
    <t>This tab will require updating in the following circumstances:</t>
  </si>
  <si>
    <t>3. Determine the appropriate formula for processing the survey input and follow instructions for (2) above.</t>
  </si>
  <si>
    <r>
      <t xml:space="preserve">The default formula in "Survey Form Value" is </t>
    </r>
    <r>
      <rPr>
        <b/>
        <sz val="11"/>
        <color theme="5"/>
        <rFont val="Calibri"/>
        <family val="2"/>
        <scheme val="minor"/>
      </rPr>
      <t>=IF(INDIRECT([@Location])&lt;&gt;"", INDIRECT([@Location]), "")</t>
    </r>
    <r>
      <rPr>
        <sz val="11"/>
        <color theme="1"/>
        <rFont val="Calibri"/>
        <family val="2"/>
        <scheme val="minor"/>
      </rPr>
      <t>. This formula just pulls in the value from the linked cell (the IF statement leaves a cell blank if it is blank, rather than filling with a 0).</t>
    </r>
  </si>
  <si>
    <t>Instructions for Completing this Survey</t>
  </si>
  <si>
    <t>1.</t>
  </si>
  <si>
    <t>Please use formatting as a guide for interacting with the survey:</t>
  </si>
  <si>
    <t>Formulas</t>
  </si>
  <si>
    <t>Not Required</t>
  </si>
  <si>
    <t>This formatting indicates that your prior responses mean you can skip these cells.</t>
  </si>
  <si>
    <t>See Note</t>
  </si>
  <si>
    <t>These cells have additional instructions - mouseover the cell to see details.</t>
  </si>
  <si>
    <t>2.</t>
  </si>
  <si>
    <t>3.</t>
  </si>
  <si>
    <t>4.</t>
  </si>
  <si>
    <t>5.</t>
  </si>
  <si>
    <t>For the purposes of this survey, ESOP Contribution should include any contribution made to an ESOP or similar entity. This specifically includes "Normal and Necessary" contributions, plus any other contributions made (e.g., for ownership transitions).</t>
  </si>
  <si>
    <t>For the purposes of this survey, a diversity improvement initiative must be a company-wide initiative focused on attracting and retaining women and/or minority employees.
"Minority" is here defined per the US Census Bureau as being of one of the following races: Black, American Indian, Asian, Pacific Islander, Other Race, or Two or More Races AND/OR being of Hispanic/Latino origin.</t>
  </si>
  <si>
    <t>Note that when updating this tab, any existing versions of the CEO Survey will not be updated. To create a new blank copy of the CEO Survey for circulation, use the "Export_Survey_File" tool.</t>
  </si>
  <si>
    <t>Checks</t>
  </si>
  <si>
    <t>This tab contains a summary of all checks in the survey and whether or not they are violated by survey input.</t>
  </si>
  <si>
    <t>This tab contains a summary of checks in the CEO Survey Form and their current status (passed/violated). It is used to help speed up review of completed survey forms during the import process.</t>
  </si>
  <si>
    <r>
      <t xml:space="preserve">1. The survey form is modified, breaking a link with the table. </t>
    </r>
    <r>
      <rPr>
        <b/>
        <i/>
        <sz val="11"/>
        <color theme="1"/>
        <rFont val="Calibri"/>
        <family val="2"/>
        <scheme val="minor"/>
      </rPr>
      <t>Note that in most cases, using "Cut -&gt; Paste" rather than "Copy -&gt; Paste" to reformat survey form pages should avoid breaking links.</t>
    </r>
  </si>
  <si>
    <t>2. A new check is added to the survey form.</t>
  </si>
  <si>
    <t>If check data is not piping through correctly (for example, "Status" column has errors in it, or does not respond to input correctly), there may be a broken link. To resolve:</t>
  </si>
  <si>
    <t>1. Locate the check in this table using its location and/or error details.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</si>
  <si>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 This will be the cell that contains "OK" or an error message.</t>
    </r>
  </si>
  <si>
    <r>
      <t xml:space="preserve">3. In the "Cell" column, reset the connection by changing the formula to =CELL("address", </t>
    </r>
    <r>
      <rPr>
        <b/>
        <sz val="11"/>
        <color theme="5"/>
        <rFont val="Calibri"/>
        <family val="2"/>
        <scheme val="minor"/>
      </rPr>
      <t>correct_cell</t>
    </r>
    <r>
      <rPr>
        <i/>
        <sz val="11"/>
        <color theme="1"/>
        <rFont val="Calibri"/>
        <family val="2"/>
        <scheme val="minor"/>
      </rPr>
      <t>).</t>
    </r>
  </si>
  <si>
    <r>
      <rPr>
        <b/>
        <u/>
        <sz val="11"/>
        <rFont val="Calibri"/>
        <family val="2"/>
        <scheme val="minor"/>
      </rPr>
      <t>Use Case 2</t>
    </r>
    <r>
      <rPr>
        <b/>
        <sz val="11"/>
        <rFont val="Calibri"/>
        <family val="2"/>
        <scheme val="minor"/>
      </rPr>
      <t>: Add a New Check</t>
    </r>
  </si>
  <si>
    <t>When a new check is added to the main survey, you will need to add this field to this table to ensure that the check is properly processed during imports:</t>
  </si>
  <si>
    <r>
      <t xml:space="preserve">1. Add a new row to the table below. </t>
    </r>
    <r>
      <rPr>
        <b/>
        <i/>
        <sz val="11"/>
        <color theme="1"/>
        <rFont val="Calibri"/>
        <family val="2"/>
        <scheme val="minor"/>
      </rPr>
      <t>Use the next available integer for "ID" (e.g., if the highest number in the "ID" column is 143, use 144 as the next ID).</t>
    </r>
  </si>
  <si>
    <t>2. Locate the cell in the survey form that should be linked to the check and follow instructions for (1) above.</t>
  </si>
  <si>
    <t>As a CM/GC?</t>
  </si>
  <si>
    <t>Includes retirement plan contributions, ESOP contributions, car allowances, life insurance and other enhanced fringe benefits, etc.</t>
  </si>
  <si>
    <t>Unusual or Infrequent Items are transactions that are unusual in nature or infrequent, but not both.  Such transactions may include gains (losses) from the sale of the company's assets, gains (losses) from asset impairments, write-offs, and restructuring, or losses from lawsuits.</t>
  </si>
  <si>
    <t>Time-Based Utilization Rate
("Billability")</t>
  </si>
  <si>
    <t>Defined here as work that falls outside the typical "Design/Bid/Build" process of the industry. This work typically requires your firm to take greater fixed price and/or construction and/or "speculative marketing"  risk than a typical project.</t>
  </si>
  <si>
    <t>Architectural design services, including landscape architecture and urban planning work.</t>
  </si>
  <si>
    <t>Construction, Engineering, and Inspection services.</t>
  </si>
  <si>
    <t>Consulting and/or engineering work as an agent or advisor of the project's owner. Does not include the actual engineering of the project, but may include scope reviews, bid management, and/or review of deliverables/schedule monitoring.</t>
  </si>
  <si>
    <t>Construction services related to site remediation and/or related environmental work.</t>
  </si>
  <si>
    <t>Operations and Maintenance (O&amp;M) work for a project.</t>
  </si>
  <si>
    <t>Surveying, mapping, geospatial (GIS) and satellite image processing work.</t>
  </si>
  <si>
    <t>General Construction services where most/all of construction work is self-performed and not subcontracted to a third party.</t>
  </si>
  <si>
    <t>Engineer/Procure/Contract (EPC) or Engineer/Procure/Construction Manage (EPCM) work for a project.</t>
  </si>
  <si>
    <t>Laboratory work for soil and/or material testing.</t>
  </si>
  <si>
    <t>Design constructability reviews, construction procurement and bidding phase organization, subcontracting of construction packages, and construction supervision.
Can be done directly (CM@Risk) or as an advisor (CM for a Fee).</t>
  </si>
  <si>
    <t>Any engineering or consulting service for civil and/or military engineering projects, including buildings, energy, water, waste, transportation, environmental, structural, MEP, or related work.</t>
  </si>
  <si>
    <r>
      <t xml:space="preserve">4. If the cell is auto-populated within the survey (e.g., totals for geographic regions are the automatically calculated as the sum of their sub-regions) </t>
    </r>
    <r>
      <rPr>
        <b/>
        <i/>
        <sz val="11"/>
        <color theme="1"/>
        <rFont val="Calibri"/>
        <family val="2"/>
        <scheme val="minor"/>
      </rPr>
      <t>AND</t>
    </r>
    <r>
      <rPr>
        <i/>
        <sz val="11"/>
        <color theme="1"/>
        <rFont val="Calibri"/>
        <family val="2"/>
        <scheme val="minor"/>
      </rPr>
      <t xml:space="preserve"> a respondent is given the option to overwrite the formulas (as is the case for geographic region totals,</t>
    </r>
  </si>
  <si>
    <t xml:space="preserve">   but not for EBIT, for example -- these cases are marked with comments in the survey form), we need to be able to restore the formulas when populating and resetting the form. To do this, we define "Formula Backups" for such cells. </t>
  </si>
  <si>
    <r>
      <rPr>
        <u/>
        <sz val="11"/>
        <color theme="1"/>
        <rFont val="Calibri"/>
        <family val="2"/>
        <scheme val="minor"/>
      </rPr>
      <t>C-Corp</t>
    </r>
    <r>
      <rPr>
        <sz val="11"/>
        <color theme="1"/>
        <rFont val="Calibri"/>
        <family val="2"/>
        <scheme val="minor"/>
      </rPr>
      <t xml:space="preserve">: A traditional corporation that provides limited liability to its shareholders. Income is taxed at the corporate level, employees / owners pay tax on their salaries, and shareholders pay personal income tax on any dividends received.
</t>
    </r>
    <r>
      <rPr>
        <u/>
        <sz val="11"/>
        <color theme="1"/>
        <rFont val="Calibri"/>
        <family val="2"/>
        <scheme val="minor"/>
      </rPr>
      <t>S-Corp</t>
    </r>
    <r>
      <rPr>
        <sz val="11"/>
        <color theme="1"/>
        <rFont val="Calibri"/>
        <family val="2"/>
        <scheme val="minor"/>
      </rPr>
      <t xml:space="preserve">: A corporate entity which has 100 shareholders or fewer and provides limited liability, but is treated as a partnership for tax purposes, with no federal income tax at the corporate level and income taxed at the shareholder level.
</t>
    </r>
    <r>
      <rPr>
        <u/>
        <sz val="11"/>
        <color theme="1"/>
        <rFont val="Calibri"/>
        <family val="2"/>
        <scheme val="minor"/>
      </rPr>
      <t>Partnership</t>
    </r>
    <r>
      <rPr>
        <sz val="11"/>
        <color theme="1"/>
        <rFont val="Calibri"/>
        <family val="2"/>
        <scheme val="minor"/>
      </rPr>
      <t xml:space="preserve">: A traditional partnership creates personal liability for its partners for the business debts and obligations of the partnership. Income is taxed at the partner level.
</t>
    </r>
    <r>
      <rPr>
        <u/>
        <sz val="11"/>
        <color theme="1"/>
        <rFont val="Calibri"/>
        <family val="2"/>
        <scheme val="minor"/>
      </rPr>
      <t>LLC</t>
    </r>
    <r>
      <rPr>
        <sz val="11"/>
        <color theme="1"/>
        <rFont val="Calibri"/>
        <family val="2"/>
        <scheme val="minor"/>
      </rPr>
      <t>: A limited liability company is a hybrid, combining the limited liability characteristics of a corporation with the pass-through characteristics of a partnership or sole proprietorship. Income is taxed at the member level.</t>
    </r>
  </si>
  <si>
    <t>Indirect Labor Cost</t>
  </si>
  <si>
    <t>Non-Labor Cost</t>
  </si>
  <si>
    <t>Additional revenue generated by mark-ups on pass-throughs for subcontractors.</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</si>
  <si>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 (see below).</t>
    </r>
  </si>
  <si>
    <r>
      <t xml:space="preserve">Costs paid to subcontractors. For the purposes of this survey, </t>
    </r>
    <r>
      <rPr>
        <b/>
        <sz val="11"/>
        <color theme="1"/>
        <rFont val="Calibri"/>
        <family val="2"/>
        <scheme val="minor"/>
      </rPr>
      <t>this category does not include any "mark-up" on subcontractor costs</t>
    </r>
    <r>
      <rPr>
        <sz val="11"/>
        <color theme="1"/>
        <rFont val="Calibri"/>
        <family val="2"/>
        <scheme val="minor"/>
      </rPr>
      <t>; these are entered separately (see below).</t>
    </r>
  </si>
  <si>
    <r>
      <t xml:space="preserve">Approximately what percentage of usable office space is currently </t>
    </r>
    <r>
      <rPr>
        <b/>
        <u/>
        <sz val="14"/>
        <color theme="1"/>
        <rFont val="Calibri"/>
        <family val="2"/>
        <scheme val="minor"/>
      </rPr>
      <t>not</t>
    </r>
    <r>
      <rPr>
        <b/>
        <sz val="14"/>
        <color theme="1"/>
        <rFont val="Calibri"/>
        <family val="2"/>
        <scheme val="minor"/>
      </rPr>
      <t xml:space="preserve"> being used? </t>
    </r>
  </si>
  <si>
    <t>This tab will require updating in the following circumstance:</t>
  </si>
  <si>
    <t>FormCells_Mapping</t>
  </si>
  <si>
    <t>How long (in years) has your current CEO served as CEO?</t>
  </si>
  <si>
    <t>Offices</t>
  </si>
  <si>
    <t>General CapEx</t>
  </si>
  <si>
    <t>Base Compensation:</t>
  </si>
  <si>
    <t>Work for a client</t>
  </si>
  <si>
    <t>Work for a competitor</t>
  </si>
  <si>
    <t>Recruiting / finding candidates</t>
  </si>
  <si>
    <t>Signing candidates</t>
  </si>
  <si>
    <t>Retaining employees</t>
  </si>
  <si>
    <t>Leave industry</t>
  </si>
  <si>
    <t>Professional Employees</t>
  </si>
  <si>
    <t>Non-Professional Employees</t>
  </si>
  <si>
    <t>These checks help ensure that data gathered is standardized.</t>
  </si>
  <si>
    <t>Please try to resolve as many of these checks as possible, but if your firm's specific circumstances mean that certain checks do not apply,</t>
  </si>
  <si>
    <r>
      <t xml:space="preserve">you can leave them be. </t>
    </r>
    <r>
      <rPr>
        <i/>
        <sz val="14"/>
        <color theme="1"/>
        <rFont val="Calibri"/>
        <family val="2"/>
        <scheme val="minor"/>
      </rPr>
      <t>Please explain the context for any such cases in the "Notes" section at the end of the survey.</t>
    </r>
  </si>
  <si>
    <r>
      <t xml:space="preserve">We have tried to make the survey as flexible to firms' unique businesses as possible. </t>
    </r>
    <r>
      <rPr>
        <b/>
        <sz val="14"/>
        <color theme="1"/>
        <rFont val="Calibri"/>
        <family val="2"/>
        <scheme val="minor"/>
      </rPr>
      <t>However, if a</t>
    </r>
    <r>
      <rPr>
        <sz val="14"/>
        <color theme="1"/>
        <rFont val="Calibri"/>
        <family val="2"/>
        <scheme val="minor"/>
      </rPr>
      <t xml:space="preserve"> </t>
    </r>
    <r>
      <rPr>
        <b/>
        <sz val="14"/>
        <color theme="1"/>
        <rFont val="Calibri"/>
        <family val="2"/>
        <scheme val="minor"/>
      </rPr>
      <t>survey section does</t>
    </r>
    <r>
      <rPr>
        <sz val="14"/>
        <color theme="1"/>
        <rFont val="Calibri"/>
        <family val="2"/>
        <scheme val="minor"/>
      </rPr>
      <t xml:space="preserve"> </t>
    </r>
    <r>
      <rPr>
        <b/>
        <sz val="14"/>
        <color theme="1"/>
        <rFont val="Calibri"/>
        <family val="2"/>
        <scheme val="minor"/>
      </rPr>
      <t>not capture</t>
    </r>
    <r>
      <rPr>
        <sz val="14"/>
        <color theme="1"/>
        <rFont val="Calibri"/>
        <family val="2"/>
        <scheme val="minor"/>
      </rPr>
      <t xml:space="preserve"> </t>
    </r>
    <r>
      <rPr>
        <b/>
        <sz val="14"/>
        <color theme="1"/>
        <rFont val="Calibri"/>
        <family val="2"/>
        <scheme val="minor"/>
      </rPr>
      <t>details</t>
    </r>
  </si>
  <si>
    <r>
      <t xml:space="preserve">of your business, please explain in the "Notes" section at the end of the survey. </t>
    </r>
    <r>
      <rPr>
        <sz val="14"/>
        <color theme="1"/>
        <rFont val="Calibri"/>
        <family val="2"/>
        <scheme val="minor"/>
      </rPr>
      <t>We will use your feedback to inform future surveys.</t>
    </r>
  </si>
  <si>
    <t>Other Contributions</t>
  </si>
  <si>
    <t>"Normal and Necessary" Contributions</t>
  </si>
  <si>
    <t>Shareholders</t>
  </si>
  <si>
    <t>Stock Price</t>
  </si>
  <si>
    <t>Workforce Details</t>
  </si>
  <si>
    <t>Over the past 12 months, what percentage</t>
  </si>
  <si>
    <t>of professional employees:</t>
  </si>
  <si>
    <r>
      <t xml:space="preserve">What is the percentage of </t>
    </r>
    <r>
      <rPr>
        <b/>
        <u/>
        <sz val="14"/>
        <color theme="1"/>
        <rFont val="Calibri"/>
        <family val="2"/>
        <scheme val="minor"/>
      </rPr>
      <t>women</t>
    </r>
    <r>
      <rPr>
        <b/>
        <sz val="14"/>
        <color theme="1"/>
        <rFont val="Calibri"/>
        <family val="2"/>
        <scheme val="minor"/>
      </rPr>
      <t xml:space="preserve"> in each of</t>
    </r>
  </si>
  <si>
    <t>the following categories of employees?</t>
  </si>
  <si>
    <r>
      <t xml:space="preserve">What is the percentage of </t>
    </r>
    <r>
      <rPr>
        <b/>
        <u/>
        <sz val="14"/>
        <color theme="1"/>
        <rFont val="Calibri"/>
        <family val="2"/>
        <scheme val="minor"/>
      </rPr>
      <t>minorities</t>
    </r>
    <r>
      <rPr>
        <b/>
        <sz val="14"/>
        <color theme="1"/>
        <rFont val="Calibri"/>
        <family val="2"/>
        <scheme val="minor"/>
      </rPr>
      <t xml:space="preserve"> in each of</t>
    </r>
  </si>
  <si>
    <t>The 2% top-paid employees?</t>
  </si>
  <si>
    <r>
      <t xml:space="preserve">Over the </t>
    </r>
    <r>
      <rPr>
        <i/>
        <u/>
        <sz val="13.5"/>
        <color theme="1"/>
        <rFont val="Calibri"/>
        <family val="2"/>
        <scheme val="minor"/>
      </rPr>
      <t>past</t>
    </r>
    <r>
      <rPr>
        <i/>
        <sz val="13.5"/>
        <color theme="1"/>
        <rFont val="Calibri"/>
        <family val="2"/>
        <scheme val="minor"/>
      </rPr>
      <t xml:space="preserve"> 12 months?</t>
    </r>
  </si>
  <si>
    <r>
      <t xml:space="preserve">Over the </t>
    </r>
    <r>
      <rPr>
        <i/>
        <u/>
        <sz val="13.5"/>
        <color theme="1"/>
        <rFont val="Calibri"/>
        <family val="2"/>
        <scheme val="minor"/>
      </rPr>
      <t>next</t>
    </r>
    <r>
      <rPr>
        <i/>
        <sz val="13.5"/>
        <color theme="1"/>
        <rFont val="Calibri"/>
        <family val="2"/>
        <scheme val="minor"/>
      </rPr>
      <t xml:space="preserve"> 12 months?</t>
    </r>
  </si>
  <si>
    <t>What is/will be the % change in compensation</t>
  </si>
  <si>
    <r>
      <t xml:space="preserve">for the average </t>
    </r>
    <r>
      <rPr>
        <b/>
        <u/>
        <sz val="14"/>
        <color theme="1"/>
        <rFont val="Calibri"/>
        <family val="2"/>
        <scheme val="minor"/>
      </rPr>
      <t>professional</t>
    </r>
    <r>
      <rPr>
        <b/>
        <sz val="14"/>
        <color theme="1"/>
        <rFont val="Calibri"/>
        <family val="2"/>
        <scheme val="minor"/>
      </rPr>
      <t xml:space="preserve"> employee:</t>
    </r>
  </si>
  <si>
    <t>Code</t>
  </si>
  <si>
    <t>Blank Only</t>
  </si>
  <si>
    <t>Yes/No</t>
  </si>
  <si>
    <t>Countries</t>
  </si>
  <si>
    <t>States</t>
  </si>
  <si>
    <t>Private Sub-Types</t>
  </si>
  <si>
    <t>Years</t>
  </si>
  <si>
    <t>Months</t>
  </si>
  <si>
    <t>Customer Advance Locations</t>
  </si>
  <si>
    <t>Employee Next Steps</t>
  </si>
  <si>
    <t>Diversity Challenges</t>
  </si>
  <si>
    <t>Revenue Growth Estimates</t>
  </si>
  <si>
    <t>Profitability Estimates</t>
  </si>
  <si>
    <t>FocusFirm Years</t>
  </si>
  <si>
    <t>This tab contains the lists for all dropdowns used in this document. They are structured in a table to allow for easier mapping between the survey form (which shows text) and the database (which stores integers).</t>
  </si>
  <si>
    <t>1. A new dropdown is required for the survey form.</t>
  </si>
  <si>
    <r>
      <rPr>
        <b/>
        <u/>
        <sz val="11"/>
        <rFont val="Calibri"/>
        <family val="2"/>
        <scheme val="minor"/>
      </rPr>
      <t>Use Case 1</t>
    </r>
    <r>
      <rPr>
        <b/>
        <sz val="11"/>
        <rFont val="Calibri"/>
        <family val="2"/>
        <scheme val="minor"/>
      </rPr>
      <t>: Add a New Dropdown</t>
    </r>
  </si>
  <si>
    <t>To add a new dropdown, simply add a new column to the table, including a name for the dropdown and its options.</t>
  </si>
  <si>
    <t>To set up the dropdown with a survey cell:</t>
  </si>
  <si>
    <r>
      <t xml:space="preserve">1. Create a new named range ("Formulas" -&gt; Name Manager") for the dropdown, using the existing names as a guide. </t>
    </r>
    <r>
      <rPr>
        <b/>
        <i/>
        <sz val="11"/>
        <color rgb="FFC00000"/>
        <rFont val="Calibri"/>
        <family val="2"/>
        <scheme val="minor"/>
      </rPr>
      <t>Follow the naming conventions!</t>
    </r>
  </si>
  <si>
    <t>2. Update the data validation for that survey cell to "List", then for "Source", enter: "=INDIRECT(NAMEDRANGE)", where NAMEDRANGE is the name you defined in (1).</t>
  </si>
  <si>
    <t xml:space="preserve">This tab contains the mapping between the survey form and the survey database. In other words, it tells the CRUD+Import tool where to find data points to import. For each data field (as defined by an ID/Alias), </t>
  </si>
  <si>
    <t>When a new data field is added to the survey you will need to add this field to this table to ensure that the survey inputs are connected to the main survey database.</t>
  </si>
  <si>
    <t>0. Define the new data field using the "Version Control" document.</t>
  </si>
  <si>
    <r>
      <t xml:space="preserve">1. Confirm that the output of the "Expand DB" macro in the "Version Control" document has been added to the bottom of this table. </t>
    </r>
    <r>
      <rPr>
        <b/>
        <i/>
        <sz val="11"/>
        <color rgb="FFC00000"/>
        <rFont val="Calibri"/>
        <family val="2"/>
        <scheme val="minor"/>
      </rPr>
      <t>Make sure the Excel table expands to include your rows!</t>
    </r>
  </si>
  <si>
    <t>3. A new field has been added to the survey (see "Version Control" document), which requires that a new link be established.</t>
  </si>
  <si>
    <t>DB_Mapping</t>
  </si>
  <si>
    <t>Internal / "Organic" Net Revenue Growth Rate (%)</t>
  </si>
  <si>
    <t>T&amp;M - Not to Exceed</t>
  </si>
  <si>
    <t>FFP - Lump Sum</t>
  </si>
  <si>
    <t>Accoutning Methods</t>
  </si>
  <si>
    <t>Accrual</t>
  </si>
  <si>
    <t>Re-engaging former employees</t>
  </si>
  <si>
    <t>StratPlan Time Horizon</t>
  </si>
  <si>
    <r>
      <t xml:space="preserve">What % of </t>
    </r>
    <r>
      <rPr>
        <b/>
        <u/>
        <sz val="14"/>
        <color theme="1"/>
        <rFont val="Calibri"/>
        <family val="2"/>
        <scheme val="minor"/>
      </rPr>
      <t>professional employees</t>
    </r>
    <r>
      <rPr>
        <b/>
        <sz val="14"/>
        <color theme="1"/>
        <rFont val="Calibri"/>
        <family val="2"/>
        <scheme val="minor"/>
      </rPr>
      <t xml:space="preserve"> fall into each age range?</t>
    </r>
  </si>
  <si>
    <t>What do employees who voluntarily leave the firm go on to do next?</t>
  </si>
  <si>
    <t>This tab contains the mapping of the survey to the survey database.</t>
  </si>
  <si>
    <t>This tab contains the necessary calculations to populate the CEO Outlook section with the appropriate categories.</t>
  </si>
  <si>
    <t>This tab contains the mapping of cells which are not related to the database, but need to be reset each time the survey form resets.</t>
  </si>
  <si>
    <t>Set By CRUD</t>
  </si>
  <si>
    <t>CAD</t>
  </si>
  <si>
    <t>Similar to Unusual Items (see above), Project Write-Offs are payments that, although contracted, included in the firm's backlog, billed for and hence included in expected revenues, are not realized or come in as losses for any reason (e.g., client inability to pay / bankruptcy).</t>
  </si>
  <si>
    <t>Any project awarded or contract entered into without a competitive process (e.g., bids). It can be the through a repeat client or due to a strong reputation that attracts new clients ("single sourcing") or the result of having unique capabilities that make a firm the only viable provider of a service with specific requirements ("sole sourcing").</t>
  </si>
  <si>
    <t>Includes geotechnical site investigation, soil classification and slope stability assessments, earthquake/landside/lad subsidence assessments, construction material quality testing, physical/chemical material property assessment, etc.</t>
  </si>
  <si>
    <t>Diversity Improvement Initiative</t>
  </si>
  <si>
    <t>Other Indirect Labor</t>
  </si>
  <si>
    <t>ZAR</t>
  </si>
  <si>
    <t>Total Expense</t>
  </si>
  <si>
    <t>2015</t>
  </si>
  <si>
    <t>2016</t>
  </si>
  <si>
    <t>2017</t>
  </si>
  <si>
    <t>2018</t>
  </si>
  <si>
    <t>2019</t>
  </si>
  <si>
    <t>NOK</t>
  </si>
  <si>
    <t>DKK</t>
  </si>
  <si>
    <r>
      <t xml:space="preserve">This tab is imported from the CEO Survey Version Control file. It contains historical exchange rates. Note that these exchange rates correspond to the year of </t>
    </r>
    <r>
      <rPr>
        <b/>
        <sz val="11"/>
        <color theme="1"/>
        <rFont val="Calibri"/>
        <family val="2"/>
        <scheme val="minor"/>
      </rPr>
      <t>survey</t>
    </r>
    <r>
      <rPr>
        <sz val="11"/>
        <color theme="1"/>
        <rFont val="Calibri"/>
        <family val="2"/>
        <scheme val="minor"/>
      </rPr>
      <t>, not of the data.</t>
    </r>
  </si>
  <si>
    <t>These cells automatically populate based on entries into other cells, and can be used as checks.</t>
  </si>
  <si>
    <r>
      <rPr>
        <b/>
        <sz val="14"/>
        <color theme="1"/>
        <rFont val="Calibri"/>
        <family val="2"/>
        <scheme val="minor"/>
      </rPr>
      <t>A glossary is provided in the back of the file ("Glossary" tab).</t>
    </r>
    <r>
      <rPr>
        <sz val="14"/>
        <color theme="1"/>
        <rFont val="Calibri"/>
        <family val="2"/>
        <scheme val="minor"/>
      </rPr>
      <t xml:space="preserve"> This sheet contains definitions of terms as used in the survey.</t>
    </r>
  </si>
  <si>
    <t>Please enter responses to survey questions in these cells. Use drop-down menus if provided.</t>
  </si>
  <si>
    <t>Fiscal Year End:</t>
  </si>
  <si>
    <t>Net Revenue Growth Rate (%)</t>
  </si>
  <si>
    <t>+ Via Acquisition</t>
  </si>
  <si>
    <t>= TOTAL</t>
  </si>
  <si>
    <t>What is the variance (as a %) of</t>
  </si>
  <si>
    <t>What is your firm’s typical mark-up (as a %) on subcontractor</t>
  </si>
  <si>
    <t>and reimbursable expenses (“pass-thrus”)?</t>
  </si>
  <si>
    <t>Performance-Based Bonus</t>
  </si>
  <si>
    <t>Ownership Transition Related Bonus</t>
  </si>
  <si>
    <t>Shareholder "Rewards"</t>
  </si>
  <si>
    <t>EBIT</t>
  </si>
  <si>
    <r>
      <t>Interest Expense (</t>
    </r>
    <r>
      <rPr>
        <b/>
        <sz val="14"/>
        <color theme="1"/>
        <rFont val="Calibri"/>
        <family val="2"/>
        <scheme val="minor"/>
      </rPr>
      <t>Net</t>
    </r>
    <r>
      <rPr>
        <sz val="14"/>
        <color theme="1"/>
        <rFont val="Calibri"/>
        <family val="2"/>
        <scheme val="minor"/>
      </rPr>
      <t xml:space="preserve"> of Interest Income)</t>
    </r>
  </si>
  <si>
    <t>(4) Summary Balance Sheet</t>
  </si>
  <si>
    <t>What is the minority interest / illiquidity discount rate</t>
  </si>
  <si>
    <t>applied to Controlling Interest Equity Value?</t>
  </si>
  <si>
    <t>Time-Based Utilization Rate</t>
  </si>
  <si>
    <t>= Net Revenues / Direct Labor Cost, as a decimal</t>
  </si>
  <si>
    <t>= Direct Labor Cost / Total Labor Cost, as a %</t>
  </si>
  <si>
    <r>
      <rPr>
        <b/>
        <sz val="16"/>
        <rFont val="Calibri"/>
        <family val="2"/>
        <scheme val="minor"/>
      </rPr>
      <t>Please refer to the glossary (which includes examples for most categories) as needed</t>
    </r>
    <r>
      <rPr>
        <sz val="16"/>
        <rFont val="Calibri"/>
        <family val="2"/>
        <scheme val="minor"/>
      </rPr>
      <t xml:space="preserve"> - we use these definitions to standardize data across firms.
The blue cells will auto-populate based on data entered in this section </t>
    </r>
    <r>
      <rPr>
        <i/>
        <sz val="16"/>
        <rFont val="Calibri"/>
        <family val="2"/>
        <scheme val="minor"/>
      </rPr>
      <t xml:space="preserve">and in prior sections </t>
    </r>
    <r>
      <rPr>
        <sz val="16"/>
        <rFont val="Calibri"/>
        <family val="2"/>
        <scheme val="minor"/>
      </rPr>
      <t>of the survey. These cells are marked with notes indicating where the information is pulled from for review purposes. The checks on the right-hand side of the form will also flag potential inconsistencies.</t>
    </r>
  </si>
  <si>
    <t>Gross Profit</t>
  </si>
  <si>
    <r>
      <t xml:space="preserve">Direct Labor Costs </t>
    </r>
    <r>
      <rPr>
        <sz val="14"/>
        <color theme="1"/>
        <rFont val="Calibri"/>
        <family val="2"/>
        <scheme val="minor"/>
      </rPr>
      <t>(Actual direct salary cost only, excluding bonuses &amp; fringe benefits</t>
    </r>
    <r>
      <rPr>
        <b/>
        <sz val="14"/>
        <color theme="1"/>
        <rFont val="Calibri"/>
        <family val="2"/>
        <scheme val="minor"/>
      </rPr>
      <t>)</t>
    </r>
  </si>
  <si>
    <t>Subtotal - "6+ Buckets"</t>
  </si>
  <si>
    <t>`</t>
  </si>
  <si>
    <t>(6.1) Net Revenues, Direct Labor, and Gross Profit</t>
  </si>
  <si>
    <t>(6.2) "6+ Buckets"</t>
  </si>
  <si>
    <t>(6.3) Non-Billable Time of Billable Personnel</t>
  </si>
  <si>
    <t>Is firm partly owned by an ESOP/ESOF/ESOT/KSOP?:</t>
  </si>
  <si>
    <r>
      <t xml:space="preserve">Non-Billable Time of Billable Personnel refers </t>
    </r>
    <r>
      <rPr>
        <b/>
        <sz val="15"/>
        <rFont val="Calibri"/>
        <family val="2"/>
        <scheme val="minor"/>
      </rPr>
      <t>only to wages incurred by "billable" employees that are not directly billed to a customer</t>
    </r>
    <r>
      <rPr>
        <sz val="15"/>
        <rFont val="Calibri"/>
        <family val="2"/>
        <scheme val="minor"/>
      </rPr>
      <t xml:space="preserve">. These costs </t>
    </r>
    <r>
      <rPr>
        <b/>
        <sz val="15"/>
        <rFont val="Calibri"/>
        <family val="2"/>
        <scheme val="minor"/>
      </rPr>
      <t>should not include bonuses or fringe benefits</t>
    </r>
    <r>
      <rPr>
        <sz val="15"/>
        <rFont val="Calibri"/>
        <family val="2"/>
        <scheme val="minor"/>
      </rPr>
      <t>, which are counted separately.</t>
    </r>
  </si>
  <si>
    <t>Subtotal - Non-Billable Time of Billable Personnel</t>
  </si>
  <si>
    <t>(6.4) Fringe Benefits</t>
  </si>
  <si>
    <r>
      <t xml:space="preserve">Fringe Benefits refers to costs associated with labor that are incremental to base compensation and bonuses. These costs should include fringe benefits </t>
    </r>
    <r>
      <rPr>
        <b/>
        <sz val="15"/>
        <rFont val="Calibri"/>
        <family val="2"/>
        <scheme val="minor"/>
      </rPr>
      <t xml:space="preserve">for all employees </t>
    </r>
    <r>
      <rPr>
        <sz val="15"/>
        <rFont val="Calibri"/>
        <family val="2"/>
        <scheme val="minor"/>
      </rPr>
      <t xml:space="preserve">(both "billable" and "non-billable") but </t>
    </r>
    <r>
      <rPr>
        <b/>
        <sz val="15"/>
        <rFont val="Calibri"/>
        <family val="2"/>
        <scheme val="minor"/>
      </rPr>
      <t>should not include bonuses</t>
    </r>
    <r>
      <rPr>
        <sz val="15"/>
        <rFont val="Calibri"/>
        <family val="2"/>
        <scheme val="minor"/>
      </rPr>
      <t>.</t>
    </r>
  </si>
  <si>
    <t>(6.5) Other Non-Labor Costs</t>
  </si>
  <si>
    <t>Subtotal - Fringe Benefits</t>
  </si>
  <si>
    <t>Subtotal - Other Non-Labor Costs</t>
  </si>
  <si>
    <t>(6.6) Overhead Summary</t>
  </si>
  <si>
    <t>The following cells summarize the overhead information provided above.</t>
  </si>
  <si>
    <t>Total Indirect Labor = (Indirect Labor Component of 6+ Buckets) + (Non-Billable Time of Billable Personnel)</t>
  </si>
  <si>
    <r>
      <t xml:space="preserve">Other Non-Labor Costs refers to all other </t>
    </r>
    <r>
      <rPr>
        <b/>
        <sz val="15"/>
        <color theme="1"/>
        <rFont val="Calibri"/>
        <family val="2"/>
        <scheme val="minor"/>
      </rPr>
      <t xml:space="preserve">non-reimbursable </t>
    </r>
    <r>
      <rPr>
        <sz val="15"/>
        <color theme="1"/>
        <rFont val="Calibri"/>
        <family val="2"/>
        <scheme val="minor"/>
      </rPr>
      <t>non-labor costs that do not fit into any categories above.</t>
    </r>
  </si>
  <si>
    <t>Total Non-Labor = (Non-Labor Component of 6+ Buckets) + (Fringe Benefits) + (Other Non-Labor Costs)</t>
  </si>
  <si>
    <t>TOTAL OVERHEAD</t>
  </si>
  <si>
    <t>Largest Client?</t>
  </si>
  <si>
    <r>
      <t xml:space="preserve">What % of your </t>
    </r>
    <r>
      <rPr>
        <b/>
        <u/>
        <sz val="14"/>
        <color theme="1"/>
        <rFont val="Calibri"/>
        <family val="2"/>
        <scheme val="minor"/>
      </rPr>
      <t>revenue</t>
    </r>
    <r>
      <rPr>
        <b/>
        <sz val="14"/>
        <color theme="1"/>
        <rFont val="Calibri"/>
        <family val="2"/>
        <scheme val="minor"/>
      </rPr>
      <t xml:space="preserve"> comes from your:</t>
    </r>
  </si>
  <si>
    <r>
      <t xml:space="preserve">What % of your </t>
    </r>
    <r>
      <rPr>
        <b/>
        <u/>
        <sz val="14"/>
        <color theme="1"/>
        <rFont val="Calibri"/>
        <family val="2"/>
        <scheme val="minor"/>
      </rPr>
      <t xml:space="preserve">profit </t>
    </r>
    <r>
      <rPr>
        <b/>
        <sz val="14"/>
        <color theme="1"/>
        <rFont val="Calibri"/>
        <family val="2"/>
        <scheme val="minor"/>
      </rPr>
      <t>comes from your:</t>
    </r>
  </si>
  <si>
    <t>Top 10 Clients?</t>
  </si>
  <si>
    <t>(# months)</t>
  </si>
  <si>
    <t>(7) Revenue Breakouts</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</si>
  <si>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 25% for US Revenues, the total entered for the breakouts of the US should sum to 100%, not 25%.</t>
    </r>
  </si>
  <si>
    <t>"Other" Details:</t>
  </si>
  <si>
    <t>Non-US Gov't</t>
  </si>
  <si>
    <r>
      <t xml:space="preserve">Please fill in to the greatest level of detail possible. If you are unable to break out a region into its components, you may simply enter a value directly in the </t>
    </r>
    <r>
      <rPr>
        <b/>
        <sz val="15"/>
        <color theme="7" tint="-0.249977111117893"/>
        <rFont val="Calibri"/>
        <family val="2"/>
        <scheme val="minor"/>
      </rPr>
      <t>blue</t>
    </r>
    <r>
      <rPr>
        <sz val="15"/>
        <rFont val="Calibri"/>
        <family val="2"/>
        <scheme val="minor"/>
      </rPr>
      <t xml:space="preserve"> cell. Use the maps provided as a guide - if your own reporting uses slightly different breakouts, feel free to approximate. Revenue should correspond to the region </t>
    </r>
    <r>
      <rPr>
        <b/>
        <sz val="15"/>
        <rFont val="Calibri"/>
        <family val="2"/>
        <scheme val="minor"/>
      </rPr>
      <t>for which</t>
    </r>
    <r>
      <rPr>
        <sz val="15"/>
        <rFont val="Calibri"/>
        <family val="2"/>
        <scheme val="minor"/>
      </rPr>
      <t xml:space="preserve"> the work was done. For example, if an engineer based in Denver completes work for a project in Florida, the revenues should be designated as "Florida", regardless of where the client is headquartered.</t>
    </r>
  </si>
  <si>
    <t>FFP - Fixed Unit</t>
  </si>
  <si>
    <t>T&amp;M  - Unlimited</t>
  </si>
  <si>
    <t>(8) Client Concentration</t>
  </si>
  <si>
    <t>(9) Business Development</t>
  </si>
  <si>
    <r>
      <t xml:space="preserve">Does your firm </t>
    </r>
    <r>
      <rPr>
        <b/>
        <u/>
        <sz val="14"/>
        <color theme="1"/>
        <rFont val="Calibri"/>
        <family val="2"/>
        <scheme val="minor"/>
      </rPr>
      <t>both own &amp; occupy</t>
    </r>
    <r>
      <rPr>
        <b/>
        <sz val="14"/>
        <color theme="1"/>
        <rFont val="Calibri"/>
        <family val="2"/>
        <scheme val="minor"/>
      </rPr>
      <t xml:space="preserve"> any real estate?</t>
    </r>
  </si>
  <si>
    <r>
      <t xml:space="preserve">What was the </t>
    </r>
    <r>
      <rPr>
        <b/>
        <u/>
        <sz val="14"/>
        <color theme="1"/>
        <rFont val="Calibri"/>
        <family val="2"/>
        <scheme val="minor"/>
      </rPr>
      <t>average annual</t>
    </r>
    <r>
      <rPr>
        <b/>
        <sz val="14"/>
        <color theme="1"/>
        <rFont val="Calibri"/>
        <family val="2"/>
        <scheme val="minor"/>
      </rPr>
      <t xml:space="preserve"> price change of your firm’s stock over the:</t>
    </r>
  </si>
  <si>
    <r>
      <t xml:space="preserve">What is the expected </t>
    </r>
    <r>
      <rPr>
        <b/>
        <u/>
        <sz val="14"/>
        <color theme="1"/>
        <rFont val="Calibri"/>
        <family val="2"/>
        <scheme val="minor"/>
      </rPr>
      <t>average annual</t>
    </r>
    <r>
      <rPr>
        <b/>
        <sz val="14"/>
        <color theme="1"/>
        <rFont val="Calibri"/>
        <family val="2"/>
        <scheme val="minor"/>
      </rPr>
      <t xml:space="preserve"> price change of your firm’s stock over the:</t>
    </r>
  </si>
  <si>
    <t>Consulting/Eng.</t>
  </si>
  <si>
    <t>Construction Mgmt.</t>
  </si>
  <si>
    <t>(2) Revenue</t>
  </si>
  <si>
    <t>(3) Profitability</t>
  </si>
  <si>
    <t>(6) Overhead</t>
  </si>
  <si>
    <r>
      <rPr>
        <b/>
        <sz val="14"/>
        <color theme="1"/>
        <rFont val="Calibri"/>
        <family val="2"/>
        <scheme val="minor"/>
      </rPr>
      <t>Notes are included on the right-hand side of the survey form.</t>
    </r>
    <r>
      <rPr>
        <sz val="14"/>
        <color theme="1"/>
        <rFont val="Calibri"/>
        <family val="2"/>
        <scheme val="minor"/>
      </rPr>
      <t xml:space="preserve"> These include checks that will highlight </t>
    </r>
    <r>
      <rPr>
        <b/>
        <sz val="14"/>
        <color rgb="FFC00000"/>
        <rFont val="Calibri"/>
        <family val="2"/>
        <scheme val="minor"/>
      </rPr>
      <t>in red</t>
    </r>
    <r>
      <rPr>
        <sz val="14"/>
        <color theme="1"/>
        <rFont val="Calibri"/>
        <family val="2"/>
        <scheme val="minor"/>
      </rPr>
      <t xml:space="preserve"> if violated and be greyed out if passed.</t>
    </r>
  </si>
  <si>
    <t xml:space="preserve"> = (Net Rev. Y2 - Net Rev Y1) / Net Rev Y1</t>
  </si>
  <si>
    <t xml:space="preserve"> = EBIBT - Bonus Expense</t>
  </si>
  <si>
    <t xml:space="preserve"> = EBIT + Depreciation Expense + Amortization Expense</t>
  </si>
  <si>
    <t>= Combined total of Depreciation and Amortization from Page 1 (if entered)</t>
  </si>
  <si>
    <t>CHECK: Net Rev. Multiplier = Net Rev. / DLC</t>
  </si>
  <si>
    <t>CHECK: Overhead Summary</t>
  </si>
  <si>
    <t>CHECK: EBIBT = Gross Profit - Overhead</t>
  </si>
  <si>
    <t>Please review the following for accuracy against your internal values:</t>
  </si>
  <si>
    <r>
      <t xml:space="preserve">Of your work that was </t>
    </r>
    <r>
      <rPr>
        <b/>
        <u/>
        <sz val="14"/>
        <color theme="1"/>
        <rFont val="Calibri"/>
        <family val="2"/>
        <scheme val="minor"/>
      </rPr>
      <t>not</t>
    </r>
    <r>
      <rPr>
        <b/>
        <sz val="14"/>
        <color theme="1"/>
        <rFont val="Calibri"/>
        <family val="2"/>
        <scheme val="minor"/>
      </rPr>
      <t xml:space="preserve"> sole-sourced, what was your:</t>
    </r>
  </si>
  <si>
    <t>If applicable, why did you mark some acquisitions as disappointing / unsuccessful?</t>
  </si>
  <si>
    <t>AcqPurpose</t>
  </si>
  <si>
    <t>Talent Acquisition</t>
  </si>
  <si>
    <t>Geographic Expansion</t>
  </si>
  <si>
    <t>Technology / Tech Capabilities</t>
  </si>
  <si>
    <t>Sector Expansion</t>
  </si>
  <si>
    <t>Function Expansion</t>
  </si>
  <si>
    <t>Client Expansion</t>
  </si>
  <si>
    <t>Scale</t>
  </si>
  <si>
    <t>IntChallenge</t>
  </si>
  <si>
    <t>Cost to integrate</t>
  </si>
  <si>
    <t>Bandwidth of leadership team to integrate</t>
  </si>
  <si>
    <t>Integrating different cultures</t>
  </si>
  <si>
    <t>Consolidating systems (e.g. financial, HR)</t>
  </si>
  <si>
    <t>Of these, how many were…</t>
  </si>
  <si>
    <t>Acquisition Details by Size</t>
  </si>
  <si>
    <t>Specific Acquisition Details</t>
  </si>
  <si>
    <t>Transaction #1</t>
  </si>
  <si>
    <t>Transaction #2</t>
  </si>
  <si>
    <t>Transaction #3</t>
  </si>
  <si>
    <t>Transaction #4</t>
  </si>
  <si>
    <t>Transaction #5</t>
  </si>
  <si>
    <t>(As a decimal [ex: 2.14])</t>
  </si>
  <si>
    <t>Gross Revenue of Acquired Firm</t>
  </si>
  <si>
    <t>Closing Date of Deal</t>
  </si>
  <si>
    <t>Multiple Paid (EV / EBITDA)</t>
  </si>
  <si>
    <t>M&amp;A Plans and Goals</t>
  </si>
  <si>
    <t>Please indicate whether each of the following activities is a part of your firm's M&amp;A plans over the next 12-24 months.</t>
  </si>
  <si>
    <t>Making Acquisitions:</t>
  </si>
  <si>
    <t>Seeking Outside Capital:</t>
  </si>
  <si>
    <t>Seeking a Buyer or Merger Partner:</t>
  </si>
  <si>
    <t>Divesting Part of Business:</t>
  </si>
  <si>
    <t>CEO Supplement</t>
  </si>
  <si>
    <t>Other CEO Questions</t>
  </si>
  <si>
    <t>Is there a succession plan in place for your position?</t>
  </si>
  <si>
    <t>Please use the space below to provide additional context to your responses as necessary, or to provide feedback on the survey.</t>
  </si>
  <si>
    <t>Extreme pressure (10%+ cut)</t>
  </si>
  <si>
    <t>Significant pressure (5-10% cut)</t>
  </si>
  <si>
    <t>Some pressure (&lt;5% cut)</t>
  </si>
  <si>
    <t>Pressure</t>
  </si>
  <si>
    <t>TOTAL LABOR COSTS:</t>
  </si>
  <si>
    <t>OVERHEAD RATE:</t>
  </si>
  <si>
    <t>CHECK: $-Based Utilization Rate</t>
  </si>
  <si>
    <t xml:space="preserve">   If the error is in such a cell, you may need to redefine the formula backup. Note that these cells are defined using custom formula that implement INDEX-MATCH formulas from the mapping, not from the cells themselves -- this ensures that formulas will work if the cells are moved around.</t>
  </si>
  <si>
    <r>
      <t xml:space="preserve">What is your projected </t>
    </r>
    <r>
      <rPr>
        <b/>
        <u/>
        <sz val="14"/>
        <color theme="1"/>
        <rFont val="Calibri"/>
        <family val="2"/>
        <scheme val="minor"/>
      </rPr>
      <t>annual</t>
    </r>
    <r>
      <rPr>
        <b/>
        <sz val="14"/>
        <color theme="1"/>
        <rFont val="Calibri"/>
        <family val="2"/>
        <scheme val="minor"/>
      </rPr>
      <t xml:space="preserve"> net revenue growth rate over the next 5 years (as a %)?</t>
    </r>
  </si>
  <si>
    <t>2020</t>
  </si>
  <si>
    <t>What is the average age of shareholders (in years)?</t>
  </si>
  <si>
    <t>What percentage of your new hires in the last 12 months were:</t>
  </si>
  <si>
    <t>Women?</t>
  </si>
  <si>
    <t>Minorities?</t>
  </si>
  <si>
    <t>TOTAL # ACQUISITIONS</t>
  </si>
  <si>
    <t>Retaining acq. firm’s leadership</t>
  </si>
  <si>
    <t>Retaining acq. firm’s leadership successors / next level down</t>
  </si>
  <si>
    <t>What were / are the top 3 challenges to integrations of this size?</t>
  </si>
  <si>
    <t>(# acqs.)</t>
  </si>
  <si>
    <t>&lt;$10M Annualized Revenue Acquired</t>
  </si>
  <si>
    <t>$10M-$75M Annualized Revenue Acquired</t>
  </si>
  <si>
    <t>&gt;$75M Annualized Revenue Acquired</t>
  </si>
  <si>
    <t>(Formatted as mm/dd/yyyy [ex: 01/31/2019])</t>
  </si>
  <si>
    <t>What is your current Internal (Buy/Sell) Equity Value as a multiple of the book value above?</t>
  </si>
  <si>
    <t>Hottest</t>
  </si>
  <si>
    <t>Coldest</t>
  </si>
  <si>
    <t>Sector:</t>
  </si>
  <si>
    <t>Geography:</t>
  </si>
  <si>
    <t>Other:</t>
  </si>
  <si>
    <t>Customer Type:</t>
  </si>
  <si>
    <r>
      <t xml:space="preserve">Do you calculate your Net Promoter Score (NPS) among </t>
    </r>
    <r>
      <rPr>
        <b/>
        <u/>
        <sz val="14"/>
        <color theme="1"/>
        <rFont val="Calibri"/>
        <family val="2"/>
        <scheme val="minor"/>
      </rPr>
      <t>clients</t>
    </r>
    <r>
      <rPr>
        <b/>
        <sz val="14"/>
        <color theme="1"/>
        <rFont val="Calibri"/>
        <family val="2"/>
        <scheme val="minor"/>
      </rPr>
      <t>?</t>
    </r>
  </si>
  <si>
    <t>What is your NPS (from +100 to -100) among clients?</t>
  </si>
  <si>
    <t>What is your NPS (from +100 to -100) among employees?</t>
  </si>
  <si>
    <r>
      <t xml:space="preserve">Do you calculate your NPS among </t>
    </r>
    <r>
      <rPr>
        <b/>
        <u/>
        <sz val="14"/>
        <color theme="1"/>
        <rFont val="Calibri"/>
        <family val="2"/>
        <scheme val="minor"/>
      </rPr>
      <t>employees</t>
    </r>
    <r>
      <rPr>
        <b/>
        <sz val="14"/>
        <color theme="1"/>
        <rFont val="Calibri"/>
        <family val="2"/>
        <scheme val="minor"/>
      </rPr>
      <t>?</t>
    </r>
  </si>
  <si>
    <t>No pressure (no cut and/or price increases)</t>
  </si>
  <si>
    <t>The following four subgroups should add up to total overhead expenditure (i.e., Total Overhead Expenditure = “6+ Buckets” [6.2] + “Non-Billable Time of Billable Personnel” [6.3] + “Fringe Benefits” [6.4] + “Other Non-Labor Costs” [6.5]). Please use checks on the right to confirm key metrics.</t>
  </si>
  <si>
    <t>1-2 years</t>
  </si>
  <si>
    <t>6-10 years</t>
  </si>
  <si>
    <t>3-5 years</t>
  </si>
  <si>
    <t>"Markup on Pass-Throughs"</t>
  </si>
  <si>
    <t>Additional cost added to pass-through expenses when billing a client. Defined here as ($ Billed to Client for Pass-Through Expense - $ Paid for Pass-Through Expense) / $ Paid for Pass-Through Expense.</t>
  </si>
  <si>
    <t>Months of Backlog</t>
  </si>
  <si>
    <t>Defined as 12 x (Current $ of Backlog / Prior Year's Net Revenues).</t>
  </si>
  <si>
    <t>Earnings before interest, bonus, and tax. For firms with ESOP contributions, note that this is defined as EBIBET - ESOP contributions.</t>
  </si>
  <si>
    <t>Direct Labor Costs (DLC)</t>
  </si>
  <si>
    <t>Total Labor Costs (TLC)</t>
  </si>
  <si>
    <t>Total salary costs for all employees, including vacation / holiday / sick leave, but excluding bonuses &amp; fringe benefits.</t>
  </si>
  <si>
    <t>Payroll tax + medical costs + retirement (401(k) / pension / ESOP retirement contributions) + other (workers' compensation, etc.)</t>
  </si>
  <si>
    <t>Defined here as Net Revenue / Direct Labor Costs.</t>
  </si>
  <si>
    <t>Defined here as Direct Labor Costs / Total Labor Costs. See above for definitions of DLC and TLC.</t>
  </si>
  <si>
    <t>(5) Productivity</t>
  </si>
  <si>
    <t>All indirect Labor costs associated with "non-billable"/"dedicated" personnel not captured elsewhere in the "6+ Buckets".</t>
  </si>
  <si>
    <t>A subset of overhead costs: wages incurred by "billable" employees that are not directly billed to a customer. These costs should not include bonuses or fringe benefits, which are counted separately.</t>
  </si>
  <si>
    <t>Non-Bill. Time of Bill. Pers.</t>
  </si>
  <si>
    <t>A subset of overhead costs: costs associated with labor incremental to base compensation and bonuses. These costs should include fringe benefits for all employees (both "billable" and "non-billable") but should not include bonuses.</t>
  </si>
  <si>
    <t>Other Non-Labor Costs</t>
  </si>
  <si>
    <r>
      <t xml:space="preserve">Expenses not directly related to employee salaries / benefits.  Examples include software, insurance, marketing materials, advertising, occupancy costs, and office supplies. </t>
    </r>
    <r>
      <rPr>
        <b/>
        <sz val="11"/>
        <color theme="1"/>
        <rFont val="Calibri"/>
        <family val="2"/>
        <scheme val="minor"/>
      </rPr>
      <t>For the purposes of this survey, Non-Labor overhead costs include the non-labor component of the "6+ Buckets", fringe benefits, and other non-labor costs.</t>
    </r>
  </si>
  <si>
    <r>
      <t xml:space="preserve">For an E/C firm, Indirect Labor consists of any employees not billable to a client.  Examples include HR professionals, the Finance staff, IT experts, and BD/Marketing personnel. </t>
    </r>
    <r>
      <rPr>
        <b/>
        <sz val="11"/>
        <color theme="1"/>
        <rFont val="Calibri"/>
        <family val="2"/>
        <scheme val="minor"/>
      </rPr>
      <t>For the purposes of this survey, Indirect Labor Cost refers to BOTH wages incurred by these employees AND any wages incurred by otherwise billable employees that are not billable to customers. Indirect Labor Cost should not include bonuses or fringe benefits.</t>
    </r>
  </si>
  <si>
    <t>Repeat Business</t>
  </si>
  <si>
    <t>For the purposes of this survey, "repeat business" refers to work done for a client for which a firm has done work in the prior five years.</t>
  </si>
  <si>
    <t>The percentage of project proposals that are won compared to total project proposals submitted. Calculated here as # Proposals Won / (# Proposals Won + # Proposals Lost). Only includes proposals on which a firm has heard back.</t>
  </si>
  <si>
    <t>A ratio that measures whether a company wins disproportionately larger or smaller projects. Defined here as $ of Proposals Won / ($ of Proposals Won + $ Proposals Lost). Only includes proposals on which a firm has heard back.</t>
  </si>
  <si>
    <t>How long did / will integration take for acqs. of this size?</t>
  </si>
  <si>
    <t>What was the primary purpose of acqs. of this size?</t>
  </si>
  <si>
    <t>In some cases, you can type over these formulas - these will be marked with a note. Others are protected.</t>
  </si>
  <si>
    <t>If you wish to have multiple parties interact with this file, you may make copies and have each party fill out their respective parts of the survey</t>
  </si>
  <si>
    <r>
      <t xml:space="preserve">(note that this may cause data to flow incorrectly between sections of the survey), but to submit your final survey, </t>
    </r>
    <r>
      <rPr>
        <b/>
        <sz val="14"/>
        <color theme="1"/>
        <rFont val="Calibri"/>
        <family val="2"/>
        <scheme val="minor"/>
      </rPr>
      <t xml:space="preserve">please send a single </t>
    </r>
  </si>
  <si>
    <t>Excel (not PDF) file with all of your data.</t>
  </si>
  <si>
    <r>
      <rPr>
        <b/>
        <sz val="14"/>
        <color rgb="FFC00000"/>
        <rFont val="Calibri"/>
        <family val="2"/>
        <scheme val="minor"/>
      </rPr>
      <t>Please do not cut/copy-paste into cells.</t>
    </r>
    <r>
      <rPr>
        <sz val="14"/>
        <color theme="1"/>
        <rFont val="Calibri"/>
        <family val="2"/>
        <scheme val="minor"/>
      </rPr>
      <t xml:space="preserve"> Doing so will interfere with data validation.</t>
    </r>
  </si>
  <si>
    <t># of Acquisitions in Year</t>
  </si>
  <si>
    <t>Total Annualized Rev. of Acq. Firms in Year</t>
  </si>
  <si>
    <t>2021</t>
  </si>
  <si>
    <t xml:space="preserve">What is your firm’s typical dividend payout (as a %) on net income? </t>
  </si>
  <si>
    <t>Dividend distribution</t>
  </si>
  <si>
    <r>
      <t xml:space="preserve">Average client </t>
    </r>
    <r>
      <rPr>
        <b/>
        <u/>
        <sz val="14"/>
        <color theme="1"/>
        <rFont val="Calibri"/>
        <family val="2"/>
        <scheme val="minor"/>
      </rPr>
      <t>relationship length</t>
    </r>
    <r>
      <rPr>
        <b/>
        <sz val="14"/>
        <color theme="1"/>
        <rFont val="Calibri"/>
        <family val="2"/>
        <scheme val="minor"/>
      </rPr>
      <t xml:space="preserve"> with your:</t>
    </r>
  </si>
  <si>
    <t>Multiple Paid (EV / EBIT)</t>
  </si>
  <si>
    <t>Multiple Paid (EV / EBITA)</t>
  </si>
  <si>
    <t>(# Approx. FTEs)</t>
  </si>
  <si>
    <t>Geography</t>
  </si>
  <si>
    <t>Sustainability</t>
  </si>
  <si>
    <t>Billable?</t>
  </si>
  <si>
    <t>Sustainability Performance Reporting</t>
  </si>
  <si>
    <t>Sustainability Main Opportunities</t>
  </si>
  <si>
    <t xml:space="preserve">Access to capital (debt or equity) that screens for sustainability-oriented firms </t>
  </si>
  <si>
    <t>Added revenue from new services</t>
  </si>
  <si>
    <t xml:space="preserve">Attracting talent </t>
  </si>
  <si>
    <t>Improved pricing as other sectors (ex: management consulting) offer similar services</t>
  </si>
  <si>
    <t>Increased revenue from current service lines</t>
  </si>
  <si>
    <t>Lower cost of capital (debt or equity) due to Sustainability / ESG performance</t>
  </si>
  <si>
    <t xml:space="preserve">Managing risk </t>
  </si>
  <si>
    <t xml:space="preserve">Valuation premium for our firm </t>
  </si>
  <si>
    <t>Sustainability Key Challenges</t>
  </si>
  <si>
    <t>Certain clients may see it as a negative</t>
  </si>
  <si>
    <t xml:space="preserve">Difficulty to integrate ESG info into our operations </t>
  </si>
  <si>
    <t>Issues are not material - limited added value</t>
  </si>
  <si>
    <t>Lack of demand from clients and investors</t>
  </si>
  <si>
    <t>Lack of information/data</t>
  </si>
  <si>
    <t>Losing talent to other sectors (consulting, banking, NGOs)</t>
  </si>
  <si>
    <t>Market challenges from management consultants offering same services</t>
  </si>
  <si>
    <t>Sustainability Main Drivers</t>
  </si>
  <si>
    <t>We monitor how our ESG performance is evaluated by capital markets</t>
  </si>
  <si>
    <t>ESG is important for our clients and a major revenue source for us</t>
  </si>
  <si>
    <t>ESG is good marketing for our firm but not a major revenue source</t>
  </si>
  <si>
    <t>ESG is important to our staff and a major driver of winning new talent</t>
  </si>
  <si>
    <t xml:space="preserve">ESG is a key priority for our executive leadership </t>
  </si>
  <si>
    <t>ESG and climate risks are among the key enterprise risks we monitor</t>
  </si>
  <si>
    <t>How many FTEs are part of your sustainability team?</t>
  </si>
  <si>
    <t>Planning to</t>
  </si>
  <si>
    <t>Do you have a dedicated person to lead your corporate sustainability programs and efforts?</t>
  </si>
  <si>
    <t>How do you report your sustainability / ESG performance?</t>
  </si>
  <si>
    <t>Sustainability - Multiple Choice</t>
  </si>
  <si>
    <t>Always do</t>
  </si>
  <si>
    <t>Sometimes do</t>
  </si>
  <si>
    <t>Rarely do</t>
  </si>
  <si>
    <t>Do not</t>
  </si>
  <si>
    <t xml:space="preserve">We are planning to establish a sustainability/ ESG reporting initiative </t>
  </si>
  <si>
    <t xml:space="preserve">We do not have such a reporting system in place and no immediate plans to establish one </t>
  </si>
  <si>
    <t>We have a comprehensive annual report that covers all areas and segments of our firm</t>
  </si>
  <si>
    <t xml:space="preserve">We have an annual report but it doesn’t cover everything </t>
  </si>
  <si>
    <t xml:space="preserve">We report on some areas/ impacts on our website, but it is still fragmented and under development </t>
  </si>
  <si>
    <t>How much of your firm’s Gross Revenues comes from sustainability-related work sold to clients?</t>
  </si>
  <si>
    <t>Sustainability - Disclosures</t>
  </si>
  <si>
    <t>Excellent</t>
  </si>
  <si>
    <t xml:space="preserve">Good </t>
  </si>
  <si>
    <t>Neutral</t>
  </si>
  <si>
    <t>Poor</t>
  </si>
  <si>
    <t>Sustainability - change over the last year</t>
  </si>
  <si>
    <t xml:space="preserve">Increased </t>
  </si>
  <si>
    <t>Decreased</t>
  </si>
  <si>
    <t>Stayed the same</t>
  </si>
  <si>
    <t>DEI</t>
  </si>
  <si>
    <r>
      <t xml:space="preserve">Approximately how many </t>
    </r>
    <r>
      <rPr>
        <b/>
        <u/>
        <sz val="14"/>
        <color theme="1"/>
        <rFont val="Calibri"/>
        <family val="2"/>
        <scheme val="minor"/>
      </rPr>
      <t>months</t>
    </r>
    <r>
      <rPr>
        <b/>
        <sz val="14"/>
        <color theme="1"/>
        <rFont val="Calibri"/>
        <family val="2"/>
        <scheme val="minor"/>
      </rPr>
      <t xml:space="preserve"> of</t>
    </r>
  </si>
  <si>
    <r>
      <rPr>
        <b/>
        <u/>
        <sz val="14"/>
        <color theme="1"/>
        <rFont val="Calibri"/>
        <family val="2"/>
        <scheme val="minor"/>
      </rPr>
      <t>hard backlog</t>
    </r>
    <r>
      <rPr>
        <b/>
        <sz val="14"/>
        <color theme="1"/>
        <rFont val="Calibri"/>
        <family val="2"/>
        <scheme val="minor"/>
      </rPr>
      <t xml:space="preserve"> do you currently have?</t>
    </r>
  </si>
  <si>
    <r>
      <t xml:space="preserve">How does your current </t>
    </r>
    <r>
      <rPr>
        <b/>
        <u/>
        <sz val="14"/>
        <color theme="1"/>
        <rFont val="Calibri"/>
        <family val="2"/>
        <scheme val="minor"/>
      </rPr>
      <t>hard backlog</t>
    </r>
  </si>
  <si>
    <r>
      <t xml:space="preserve">compare to your </t>
    </r>
    <r>
      <rPr>
        <b/>
        <u/>
        <sz val="14"/>
        <color theme="1"/>
        <rFont val="Calibri"/>
        <family val="2"/>
        <scheme val="minor"/>
      </rPr>
      <t>hard backlog</t>
    </r>
    <r>
      <rPr>
        <b/>
        <sz val="14"/>
        <color theme="1"/>
        <rFont val="Calibri"/>
        <family val="2"/>
        <scheme val="minor"/>
      </rPr>
      <t xml:space="preserve"> (as a %):</t>
    </r>
  </si>
  <si>
    <t>ESG</t>
  </si>
  <si>
    <t>CEO Supplement / Sustainability</t>
  </si>
  <si>
    <t>Did your firm apply for R&amp;D tax credits?</t>
  </si>
  <si>
    <t>2022</t>
  </si>
  <si>
    <t>Please fill in as much of the following as you can. Where exact data is not available, please use your best approximation.</t>
  </si>
  <si>
    <r>
      <t xml:space="preserve">Finally, depending on your responses for </t>
    </r>
    <r>
      <rPr>
        <b/>
        <sz val="16"/>
        <rFont val="Calibri"/>
        <family val="2"/>
        <scheme val="minor"/>
      </rPr>
      <t>Revenue Breakouts by Business/Area on Page 3</t>
    </r>
    <r>
      <rPr>
        <sz val="16"/>
        <rFont val="Calibri"/>
        <family val="2"/>
        <scheme val="minor"/>
      </rPr>
      <t>, you may be asked to provide further detail below. In such cases, the relevant cells will highlight themselves and a message will appear on the right-hand side. Otherwise, you can skip ahead!</t>
    </r>
  </si>
  <si>
    <t>Breakout of Environmental</t>
  </si>
  <si>
    <t>Env. Impact Studies</t>
  </si>
  <si>
    <t>Air Sampling/Analytics</t>
  </si>
  <si>
    <t>Env. &amp; Social Mgmt Plans</t>
  </si>
  <si>
    <t>Lab Testing</t>
  </si>
  <si>
    <t>Sub-Breakout of Site Remediation</t>
  </si>
  <si>
    <t>RI/FS</t>
  </si>
  <si>
    <t>Sub-Breakout of Waste Management</t>
  </si>
  <si>
    <t>UST</t>
  </si>
  <si>
    <t>Sub-Breakout of Ecosystems Management</t>
  </si>
  <si>
    <t>Ecosystems Restoration</t>
  </si>
  <si>
    <t>Breakout of Water/Wastewater</t>
  </si>
  <si>
    <t>Breakout of Power</t>
  </si>
  <si>
    <t>Sub-Breakout of Hydrocarbon Power Generation</t>
  </si>
  <si>
    <t>Hydrocarbon Power Gen.</t>
  </si>
  <si>
    <t>Renewable Power Gen.</t>
  </si>
  <si>
    <t>Coal-Fired Plants</t>
  </si>
  <si>
    <t>Combined Cycle Plants</t>
  </si>
  <si>
    <t>Natural Gas Plants</t>
  </si>
  <si>
    <t>Sub-Breakout of Renewable Power Generation</t>
  </si>
  <si>
    <t>Sub-Breakout of Power Distribution</t>
  </si>
  <si>
    <t>Sub-Breakout of Energy Efficiency</t>
  </si>
  <si>
    <t>Energy Optimization Studies</t>
  </si>
  <si>
    <t>User Training/Education</t>
  </si>
  <si>
    <t>Systems Monit./Upgrades</t>
  </si>
  <si>
    <t>Breakout of General Building</t>
  </si>
  <si>
    <t>Breakout of Transportation</t>
  </si>
  <si>
    <t>Sub-Breakout of Roads</t>
  </si>
  <si>
    <t>BRT Systems</t>
  </si>
  <si>
    <t>Sub-Breakout of Rail</t>
  </si>
  <si>
    <t>Subway/Metro</t>
  </si>
  <si>
    <t>Sub-Breakout of Aviation</t>
  </si>
  <si>
    <t>Sub-Breakout of Transport Tech</t>
  </si>
  <si>
    <t>Post - Merger Integration</t>
  </si>
  <si>
    <t>Column1</t>
  </si>
  <si>
    <t>Always</t>
  </si>
  <si>
    <t>Sometimes</t>
  </si>
  <si>
    <t>Rarely</t>
  </si>
  <si>
    <t>Never</t>
  </si>
  <si>
    <t>Start / PMI process?</t>
  </si>
  <si>
    <t>When the LOI is submitted</t>
  </si>
  <si>
    <t>When the deal closes</t>
  </si>
  <si>
    <t>Within 3 months of deal close</t>
  </si>
  <si>
    <t>3-6 months after deal close</t>
  </si>
  <si>
    <t>6-12 months after deal close</t>
  </si>
  <si>
    <t>More than a year after deal close</t>
  </si>
  <si>
    <t>PMI Team</t>
  </si>
  <si>
    <t>Less than 6 months</t>
  </si>
  <si>
    <t>6-12 months</t>
  </si>
  <si>
    <t>12-18 months</t>
  </si>
  <si>
    <t>18-24 months</t>
  </si>
  <si>
    <t>Greater than 24 months</t>
  </si>
  <si>
    <t>PMI Process</t>
  </si>
  <si>
    <t>In the last 12 months, what is the primary reason professional employees are leaving?</t>
  </si>
  <si>
    <t>Why Employees Leaving?</t>
  </si>
  <si>
    <t>Higher Salary</t>
  </si>
  <si>
    <t>Higher Bonus</t>
  </si>
  <si>
    <t>Better Benefits</t>
  </si>
  <si>
    <t>Better Work / Life Balance</t>
  </si>
  <si>
    <t>Didn't Like Manager</t>
  </si>
  <si>
    <t>Didn't Like Culture</t>
  </si>
  <si>
    <t>Pursuing Other Passions</t>
  </si>
  <si>
    <t>Are your firm's DEI initiatives linked to compensation and objectives?</t>
  </si>
  <si>
    <t>DEI - Compensation and Objectives?</t>
  </si>
  <si>
    <t>Yes, for leadership only</t>
  </si>
  <si>
    <t>Yes, for leadership and managers</t>
  </si>
  <si>
    <t>Not yet (but plan to in the next year)</t>
  </si>
  <si>
    <t>Not yet (but plan to eventually)</t>
  </si>
  <si>
    <t>Please indicate the areas of the industry you expect to be “Hottest” (i.e., best performing) and “Coldest” (i.e., worst performing) over the next few years, as well as why you expect this. You may use the suggested categories in the notes or write in your own.</t>
  </si>
  <si>
    <t>Why?</t>
  </si>
  <si>
    <t>Do you have a carbon emissions reduction goal for your firm?</t>
  </si>
  <si>
    <t>Do you calculate Scope 1 &amp; 2 emissions for your firm?</t>
  </si>
  <si>
    <t>Do you calculate Scope 3 emissions for your firm?</t>
  </si>
  <si>
    <t>If yes, what is it (reduction %)?</t>
  </si>
  <si>
    <t>by what year?</t>
  </si>
  <si>
    <t>If yes, provide total Scope 1 &amp; 2 emissions for 2021 (tons CO2)</t>
  </si>
  <si>
    <t>If yes, provide total Scope 3 emissions for 2021 (tons CO2)</t>
  </si>
  <si>
    <t>Column2</t>
  </si>
  <si>
    <t>Yes - &gt;20%</t>
  </si>
  <si>
    <t>Yes - 10-20%</t>
  </si>
  <si>
    <t>Yes - 5-10%</t>
  </si>
  <si>
    <t>Yes - &lt;5%</t>
  </si>
  <si>
    <t>Column3</t>
  </si>
  <si>
    <t>Premium of &gt;20%</t>
  </si>
  <si>
    <t>Premium of 10-20%</t>
  </si>
  <si>
    <t>Premium of 5-10%</t>
  </si>
  <si>
    <t>Premium of &lt;5%</t>
  </si>
  <si>
    <t>No Premium (but expect there will be in the future)</t>
  </si>
  <si>
    <t>No Premium (and don't expect there will be in the future)</t>
  </si>
  <si>
    <t>Macro Trends</t>
  </si>
  <si>
    <t>How concerned are you about the impacts of the following on your business?</t>
  </si>
  <si>
    <t>Are you proactively doing anything to address these impacts?</t>
  </si>
  <si>
    <t>High inflation</t>
  </si>
  <si>
    <t>Rising Interest Rates</t>
  </si>
  <si>
    <t>Supply chain constraints</t>
  </si>
  <si>
    <t>Very concerned</t>
  </si>
  <si>
    <t>Somewhat concerned</t>
  </si>
  <si>
    <t>Slightly concerned</t>
  </si>
  <si>
    <t>Not at all concerned</t>
  </si>
  <si>
    <t>Believe it to be a benefit / advantage</t>
  </si>
  <si>
    <t>Macro Trends - Concerns</t>
  </si>
  <si>
    <t xml:space="preserve">Infrastructure bill </t>
  </si>
  <si>
    <t>Positive impact (+10% or more to growth / profit)</t>
  </si>
  <si>
    <t>Positive impact (+5-10% to growth / profit)</t>
  </si>
  <si>
    <t>Positive impact (&lt;5% to growth / profit)</t>
  </si>
  <si>
    <t>No impact</t>
  </si>
  <si>
    <t>Negative impact to growth or profit</t>
  </si>
  <si>
    <t>Sector Markets</t>
  </si>
  <si>
    <t>&gt;15% growth</t>
  </si>
  <si>
    <t>10-15% growth</t>
  </si>
  <si>
    <t>5-10% growth</t>
  </si>
  <si>
    <t>&lt;5% growth</t>
  </si>
  <si>
    <t>Negative growth</t>
  </si>
  <si>
    <t>Market Dynamics - estimated growth (net revenues)</t>
  </si>
  <si>
    <t>Market Dynamics - estimated profits (EBIBT)</t>
  </si>
  <si>
    <t>&gt;20% profit</t>
  </si>
  <si>
    <t>15-20% profit</t>
  </si>
  <si>
    <t>10-15% profit</t>
  </si>
  <si>
    <t>5-10% profit</t>
  </si>
  <si>
    <t>&lt;5% profit</t>
  </si>
  <si>
    <t>Negative profit</t>
  </si>
  <si>
    <t>Are you having trouble attracting and retaining talent?</t>
  </si>
  <si>
    <t>Work Policy</t>
  </si>
  <si>
    <t>Fully remote</t>
  </si>
  <si>
    <t>Hybrid</t>
  </si>
  <si>
    <t>Fully in-office</t>
  </si>
  <si>
    <t>Fully flexible</t>
  </si>
  <si>
    <t>Hybrid Office Policies</t>
  </si>
  <si>
    <t>Hybrid Decision Tree</t>
  </si>
  <si>
    <t>Company-wide</t>
  </si>
  <si>
    <t>Office-by-office</t>
  </si>
  <si>
    <t>Team-by-team</t>
  </si>
  <si>
    <t>With manager approval</t>
  </si>
  <si>
    <t>Fully up to the individual</t>
  </si>
  <si>
    <t>Certain # of days per week/month</t>
  </si>
  <si>
    <t>Specific days each week/month</t>
  </si>
  <si>
    <t>Yes, significant</t>
  </si>
  <si>
    <t>Yes, moderate</t>
  </si>
  <si>
    <t>Yes, slight</t>
  </si>
  <si>
    <t>Biggest Challange</t>
  </si>
  <si>
    <t>Finding candidates</t>
  </si>
  <si>
    <t>Competitive salary / bonus</t>
  </si>
  <si>
    <t>Professional development</t>
  </si>
  <si>
    <t>Retaining talent</t>
  </si>
  <si>
    <t>Yes, somewhat</t>
  </si>
  <si>
    <t>Employee ownership</t>
  </si>
  <si>
    <t>Employee ownership - why?</t>
  </si>
  <si>
    <t>Capital constraints of younger / newer employees</t>
  </si>
  <si>
    <t>Employees not seeing the benefit of being owners</t>
  </si>
  <si>
    <t>Stock price rising too quickly</t>
  </si>
  <si>
    <t>Stock price not rising quickly enough</t>
  </si>
  <si>
    <t>Employees prefer to spend money elsewhere</t>
  </si>
  <si>
    <t>Do you offshore any of your firm's business processes?</t>
  </si>
  <si>
    <t>Please indicate whether you have been able to successfully increase pricing with clients in each of the following categories (outside of existing contract increases)</t>
  </si>
  <si>
    <t>Yes, &gt;15% increase</t>
  </si>
  <si>
    <t>Yes, 10-15% increase</t>
  </si>
  <si>
    <t>Yes, 5-10% increase</t>
  </si>
  <si>
    <t>Yes, &lt;5% increase</t>
  </si>
  <si>
    <t>Not yet (but expect to soon)</t>
  </si>
  <si>
    <t>Not yet (and don't expect to soon)</t>
  </si>
  <si>
    <t>(10) Revenue Breakouts (ctd.)</t>
  </si>
  <si>
    <r>
      <t xml:space="preserve">For this section, please use values from the </t>
    </r>
    <r>
      <rPr>
        <b/>
        <u/>
        <sz val="15"/>
        <color theme="1"/>
        <rFont val="Calibri"/>
        <family val="2"/>
        <scheme val="minor"/>
      </rPr>
      <t>last 12 months</t>
    </r>
    <r>
      <rPr>
        <sz val="15"/>
        <color theme="1"/>
        <rFont val="Calibri"/>
        <family val="2"/>
        <scheme val="minor"/>
      </rPr>
      <t>. Estimate where necessary.</t>
    </r>
  </si>
  <si>
    <r>
      <t xml:space="preserve">A defined contribution plan enabling employees of a company to participate in corporate ownership. These plans are distinct from direct employee ownership of stocks and are regulated by US tax code. </t>
    </r>
    <r>
      <rPr>
        <i/>
        <sz val="11"/>
        <color theme="1"/>
        <rFont val="Calibri"/>
        <family val="2"/>
        <scheme val="minor"/>
      </rPr>
      <t>("Employee Stock Ownership Plan" / "Employee Stock Ownership Fund" / "Employee Stock Ownership Trust")</t>
    </r>
  </si>
  <si>
    <t>Defined as Gross Revenues less the sum of: Subcontractor Costs, Reimbursable Expenses, and Profit from Pass-Throughs.</t>
  </si>
  <si>
    <t>Variance (Net Revenue, EBIBT)</t>
  </si>
  <si>
    <t>The percent increase or decrease in Net Revenue / EBIBT versus a given point in time. Defined here as [(Actual Value – Projected Value) / Projected Value].</t>
  </si>
  <si>
    <t>The percent increase or decrease in backlog versus a given point in time. Defined here as [(Current Backlog – Earlier Backlog) / Earlier Backlog].</t>
  </si>
  <si>
    <t>Earnings before interest, bonus, ESOP contributions, and taxes.</t>
  </si>
  <si>
    <r>
      <t xml:space="preserve">Defined here as Total Hours Billed to Client / Total Available Hours of Billable Professional Employees.
Total Hours Billed to Client refers to the sum of all billable hours actually charged to clients for the relevant professional employees (engineers, scientists, etc.) during the fiscal year.
Total Available Hours refers to the maximum possible sum of billable hours for the relevant employees (in other words, the number of hours that would be billed at "full" capacity). 
</t>
    </r>
    <r>
      <rPr>
        <b/>
        <sz val="11"/>
        <color theme="1"/>
        <rFont val="Calibri"/>
        <family val="2"/>
        <scheme val="minor"/>
      </rPr>
      <t>For the purposes of this survey, Total Available Hours should not include PTO, vacation or sick / unpaid leave.</t>
    </r>
  </si>
  <si>
    <t>Overhead includes all ongoing business expenses not including or related to direct labor or direct materials. For the purposes of this survey, total overhead is defined as the sum of the enumerated categories.</t>
  </si>
  <si>
    <t>A subset of overhead costs: all non-reimbursable non-labor costs that do not fit into any categories above.</t>
  </si>
  <si>
    <t xml:space="preserve">Includes environmental impact studies, social impact studies, environmental &amp; social management plans, permitting, health &amp; safety, air sampling/analytics, lab testing, site remediation, waste management, ecosystems management, etc. </t>
  </si>
  <si>
    <t xml:space="preserve">Includes roads, rail, ports, airports/aviation, transport tech, etc. </t>
  </si>
  <si>
    <t xml:space="preserve">Includes hydrocarbon power generation, renewable power generation, power distribution, energy efficiency, etc. </t>
  </si>
  <si>
    <t>Customer pays provider based upon the time spent by the provider's employees and subcontractors' employees to perform the work, and for materials used in the construction (plus the provider's mark up on the materials used), no matter how much work is required to complete construction. May be unlimited (no cap on the total payment) or not to exceed (cap placed on total payment).</t>
  </si>
  <si>
    <t>Customer pays provider a fixed price that is not subject to any adjustment based on the provider's cost experience in performing the contract. This contract type places upon the provider maximum risk and full responsibility for all costs and resulting profit or loss. The price may be set for the entire project (lump sum) or for components of the project (fixed unit).</t>
  </si>
  <si>
    <t>Any of a number of types of contracts/agreements under which a single provider provides multiple projects for a given client. Examples include:
MSA: An agreement in which parties agree to general terms governing future projects, allowing for faster future negotiations. ("Master Service Agreement")
IDIQ: An agreement that provides for an indefinite quantity of supplies or services during a fixed period. ("Indefinite Delivery, Indefinite Quantity")</t>
  </si>
  <si>
    <r>
      <t xml:space="preserve">A form of Alternative Delivery in which the designer or engineer of a project is liable for the construction of a project. This liability may include budget, procurement and/or quality aspects of the construction phase beyond the typical design phase liabilities.
</t>
    </r>
    <r>
      <rPr>
        <u/>
        <sz val="11"/>
        <color theme="1"/>
        <rFont val="Calibri"/>
        <family val="2"/>
        <scheme val="minor"/>
      </rPr>
      <t>Design/Build</t>
    </r>
    <r>
      <rPr>
        <sz val="11"/>
        <color theme="1"/>
        <rFont val="Calibri"/>
        <family val="2"/>
        <scheme val="minor"/>
      </rPr>
      <t xml:space="preserve">: A project delivery method where the design and construction services are contracted by a single entity ("design-builder"/"design-build contractor"). For the purposes of this survey, this category includes work where the firm is a subcontractor to a general contractor in a Design-Build contract.
</t>
    </r>
    <r>
      <rPr>
        <u/>
        <sz val="11"/>
        <color theme="1"/>
        <rFont val="Calibri"/>
        <family val="2"/>
        <scheme val="minor"/>
      </rPr>
      <t>P3</t>
    </r>
    <r>
      <rPr>
        <sz val="11"/>
        <color theme="1"/>
        <rFont val="Calibri"/>
        <family val="2"/>
        <scheme val="minor"/>
      </rPr>
      <t xml:space="preserve">: A variation of the D/B delivery method where the client is a joint venture of a public agency and a private company and/or the project has significant public dimensions (e.g., involved privately provided public benefits). Under this method, the provider is a formal member of the Design-Build entity, but does not invest equity in the project.
</t>
    </r>
    <r>
      <rPr>
        <u/>
        <sz val="11"/>
        <color theme="1"/>
        <rFont val="Calibri"/>
        <family val="2"/>
        <scheme val="minor"/>
      </rPr>
      <t>CM/GC</t>
    </r>
    <r>
      <rPr>
        <sz val="11"/>
        <color theme="1"/>
        <rFont val="Calibri"/>
        <family val="2"/>
        <scheme val="minor"/>
      </rPr>
      <t>: A project delivery method where the provider either (a) provides Construction Management (CM) services at risk, and is thus liable for construction risk, but subcontracts all construction work, or (b) actually provides all General Contractor (GC) services and completes construction itself.</t>
    </r>
  </si>
  <si>
    <t>All Billable Professional Employees</t>
  </si>
  <si>
    <r>
      <t xml:space="preserve">"6+ Buckets" refers </t>
    </r>
    <r>
      <rPr>
        <b/>
        <sz val="15"/>
        <rFont val="Calibri"/>
        <family val="2"/>
        <scheme val="minor"/>
      </rPr>
      <t xml:space="preserve">only to wages associated with "non-billable" / "dedicated" personnel </t>
    </r>
    <r>
      <rPr>
        <sz val="15"/>
        <rFont val="Calibri"/>
        <family val="2"/>
        <scheme val="minor"/>
      </rPr>
      <t>(i.e., indirect labor).</t>
    </r>
    <r>
      <rPr>
        <b/>
        <sz val="15"/>
        <rFont val="Calibri"/>
        <family val="2"/>
        <scheme val="minor"/>
      </rPr>
      <t xml:space="preserve"> </t>
    </r>
    <r>
      <rPr>
        <sz val="15"/>
        <rFont val="Calibri"/>
        <family val="2"/>
        <scheme val="minor"/>
      </rPr>
      <t xml:space="preserve">These costs </t>
    </r>
    <r>
      <rPr>
        <b/>
        <sz val="15"/>
        <rFont val="Calibri"/>
        <family val="2"/>
        <scheme val="minor"/>
      </rPr>
      <t>should not include bonuses or fringe benefits</t>
    </r>
    <r>
      <rPr>
        <sz val="15"/>
        <rFont val="Calibri"/>
        <family val="2"/>
        <scheme val="minor"/>
      </rPr>
      <t>, which are counted separately.</t>
    </r>
    <r>
      <rPr>
        <b/>
        <sz val="15"/>
        <rFont val="Calibri"/>
        <family val="2"/>
        <scheme val="minor"/>
      </rPr>
      <t xml:space="preserve"> </t>
    </r>
    <r>
      <rPr>
        <sz val="15"/>
        <rFont val="Calibri"/>
        <family val="2"/>
        <scheme val="minor"/>
      </rPr>
      <t xml:space="preserve">These costs </t>
    </r>
    <r>
      <rPr>
        <b/>
        <sz val="15"/>
        <rFont val="Calibri"/>
        <family val="2"/>
        <scheme val="minor"/>
      </rPr>
      <t>should include PTO</t>
    </r>
    <r>
      <rPr>
        <sz val="15"/>
        <rFont val="Calibri"/>
        <family val="2"/>
        <scheme val="minor"/>
      </rPr>
      <t xml:space="preserve"> associated with “non-billable” / “dedicated” personnel. The PTO costs of a non-billable / dedicated employee should be counted as indirect labor within their respective function (ex: HR).</t>
    </r>
  </si>
  <si>
    <t>HR/Professional Development/Training</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</si>
  <si>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entered 30% for Environmental Revenues, the total entered for the breakouts of Environmental should sum to 100%, not 30%.</t>
    </r>
  </si>
  <si>
    <t>Full-time employees of Acquired Firm</t>
  </si>
  <si>
    <t>What impact will the US infrastructure legislation have on your business?</t>
  </si>
  <si>
    <t>How are you preparing for the US infrastructure legislation?</t>
  </si>
  <si>
    <t>Younger employees intend to stay at the firm for a shorter period of time compared to others</t>
  </si>
  <si>
    <t>(16) Talent Management &amp; Compensation</t>
  </si>
  <si>
    <r>
      <t xml:space="preserve">For the productivity metrics below, please use the following definitions, estimating where necessary:
 (a) </t>
    </r>
    <r>
      <rPr>
        <b/>
        <sz val="15"/>
        <rFont val="Calibri"/>
        <family val="2"/>
        <scheme val="minor"/>
      </rPr>
      <t>Direct Labor Costs (DLC):</t>
    </r>
    <r>
      <rPr>
        <sz val="15"/>
        <rFont val="Calibri"/>
        <family val="2"/>
        <scheme val="minor"/>
      </rPr>
      <t xml:space="preserve"> Actual direct salary cost </t>
    </r>
    <r>
      <rPr>
        <b/>
        <sz val="15"/>
        <rFont val="Calibri"/>
        <family val="2"/>
        <scheme val="minor"/>
      </rPr>
      <t>for billable employees only</t>
    </r>
    <r>
      <rPr>
        <sz val="15"/>
        <rFont val="Calibri"/>
        <family val="2"/>
        <scheme val="minor"/>
      </rPr>
      <t xml:space="preserve">, excluding bonuses &amp; fringe benefits. Direct Labor Cost refers only to wages incurred by these employees to produce goods or provide services to customers
 (b) </t>
    </r>
    <r>
      <rPr>
        <b/>
        <sz val="15"/>
        <rFont val="Calibri"/>
        <family val="2"/>
        <scheme val="minor"/>
      </rPr>
      <t>Total Labor Costs (TLC):</t>
    </r>
    <r>
      <rPr>
        <sz val="15"/>
        <rFont val="Calibri"/>
        <family val="2"/>
        <scheme val="minor"/>
      </rPr>
      <t xml:space="preserve"> Total salary costs </t>
    </r>
    <r>
      <rPr>
        <b/>
        <sz val="15"/>
        <rFont val="Calibri"/>
        <family val="2"/>
        <scheme val="minor"/>
      </rPr>
      <t>for all employees</t>
    </r>
    <r>
      <rPr>
        <sz val="15"/>
        <rFont val="Calibri"/>
        <family val="2"/>
        <scheme val="minor"/>
      </rPr>
      <t xml:space="preserve">, including vacation / holiday / sick leave, but excluding bonuses &amp; fringe benefits.
 (c) </t>
    </r>
    <r>
      <rPr>
        <b/>
        <sz val="15"/>
        <rFont val="Calibri"/>
        <family val="2"/>
        <scheme val="minor"/>
      </rPr>
      <t>Fringe Benefits:</t>
    </r>
    <r>
      <rPr>
        <sz val="15"/>
        <rFont val="Calibri"/>
        <family val="2"/>
        <scheme val="minor"/>
      </rPr>
      <t xml:space="preserve"> Payroll tax + medical costs + retirement (401(k) / pension / ESOP retirement contributions) + other (workers' compensation, etc.)</t>
    </r>
  </si>
  <si>
    <t>Not applicable – we do not have any US operations</t>
  </si>
  <si>
    <t>o</t>
  </si>
  <si>
    <t>(10) Alternative Delivery</t>
  </si>
  <si>
    <t>2023</t>
  </si>
  <si>
    <t>Needs Improvement</t>
  </si>
  <si>
    <t>Over the last 12 months, how much of your firm's salary increases have you been able to push through to clients, on average?</t>
  </si>
  <si>
    <t>Design</t>
  </si>
  <si>
    <t>Net Revenue of Acquired Firm</t>
  </si>
  <si>
    <t>Acquisition Consideration</t>
  </si>
  <si>
    <t>Stock</t>
  </si>
  <si>
    <t>Note</t>
  </si>
  <si>
    <t>Earnout</t>
  </si>
  <si>
    <t>(As a percentage of EV)</t>
  </si>
  <si>
    <t>Acquisition Criteria</t>
  </si>
  <si>
    <t>Please provide details on the type(s) of targets, if any, your firm would look to acquire if pursuing an acquisition.</t>
  </si>
  <si>
    <t>Core end-market of Acquired Firm</t>
  </si>
  <si>
    <t>(Select from dropdown)</t>
  </si>
  <si>
    <t>Function</t>
  </si>
  <si>
    <t>Target Profile 1</t>
  </si>
  <si>
    <t>Target Profile 3</t>
  </si>
  <si>
    <t>Target Profile 2</t>
  </si>
  <si>
    <t>Total Enterprise Value</t>
  </si>
  <si>
    <t>Over the last 12 months, have you been more selective about your clients / projects?</t>
  </si>
  <si>
    <t>Yes, a fully dedicated team for each acquisition</t>
  </si>
  <si>
    <t>Yes, a partially dedicated team for each acquisition</t>
  </si>
  <si>
    <t>Yes, but acquisition activities are typically in addition to team members' roles</t>
  </si>
  <si>
    <t>Lease Liabilities</t>
  </si>
  <si>
    <t>Right-of-Use Assets</t>
  </si>
  <si>
    <t>2024</t>
  </si>
  <si>
    <t>What does the future of sustainability &amp; ESG look like for our industry?</t>
  </si>
  <si>
    <t>Submitted a proposal for:</t>
  </si>
  <si>
    <t>Won:</t>
  </si>
  <si>
    <t>Received, but didn't submit a proposal for:</t>
  </si>
  <si>
    <t>In the past 12 months, has your firm received outside capital:</t>
  </si>
  <si>
    <t>Was it a minority or majority investment:</t>
  </si>
  <si>
    <t>If minority, what % of the firm was acquired:</t>
  </si>
  <si>
    <t>EBITDA multiple at the time of close:</t>
  </si>
  <si>
    <t xml:space="preserve">Was the transaction supported by debt? </t>
  </si>
  <si>
    <t>If yes, how much leverage was used (multiples of EBITDA):</t>
  </si>
  <si>
    <t>How were the transaction proceeds used (e.g. organic growth, acquisitions, dividends):</t>
  </si>
  <si>
    <t>Did you receive assistance from an M&amp;A Advisor?</t>
  </si>
  <si>
    <t>If yes, which firm:</t>
  </si>
  <si>
    <t>Currently engaged with an M&amp;A Advisor:</t>
  </si>
  <si>
    <t>Technology &amp; Innovation Investments</t>
  </si>
  <si>
    <t>What is your firm's annual investment?</t>
  </si>
  <si>
    <t>What is the primary benefit?</t>
  </si>
  <si>
    <t xml:space="preserve">of </t>
  </si>
  <si>
    <t>Do you believe that your firm's overall technology / innovation investments have a positive ROI at this point?</t>
  </si>
  <si>
    <t>Does your firm generate revenue through technology as a service or product?</t>
  </si>
  <si>
    <t>What is your estimate of the percent of the firm's employees that use generative AI in their day-to-day work now?</t>
  </si>
  <si>
    <t>Approximately how does your total investment in technology split out across the following categories?</t>
  </si>
  <si>
    <t>Tech-Enabled Consulting:</t>
  </si>
  <si>
    <t>Designing &amp; Selling Technology:</t>
  </si>
  <si>
    <t>Are you selling subscription services, software, and/or related products?</t>
  </si>
  <si>
    <t>Are you generating profit from subscription services, software, and/or related products?</t>
  </si>
  <si>
    <t>Does your firm track the costs associated with executing on its strategic plan / strategic initiatives?</t>
  </si>
  <si>
    <t>Does your company track the return on investment (ROI) associated with its strategic plan / strategic initiatives?</t>
  </si>
  <si>
    <t>Is there a succession plan for your direct reports?</t>
  </si>
  <si>
    <t>Are you considering expanding outside the US (excluding offshoring)?</t>
  </si>
  <si>
    <t>If so, which geographies are you considering?</t>
  </si>
  <si>
    <t>Australia:</t>
  </si>
  <si>
    <t>Africa:</t>
  </si>
  <si>
    <t>Middle East:</t>
  </si>
  <si>
    <t>Canada:</t>
  </si>
  <si>
    <t>UK:</t>
  </si>
  <si>
    <t>Nordics:</t>
  </si>
  <si>
    <t>Elsewhere in Europe:</t>
  </si>
  <si>
    <t>Asia:</t>
  </si>
  <si>
    <t>In the last 12 months, what is the primary reason professional employees are staying?</t>
  </si>
  <si>
    <t>Foundational Technology:</t>
  </si>
  <si>
    <t>For the following questions on workforce, please respond only for professional employees.</t>
  </si>
  <si>
    <t>How many professional employees does your firm:</t>
  </si>
  <si>
    <t>For the following questions on workforce divrsity, please respond only for professional employees.</t>
  </si>
  <si>
    <t>For the following questions on general compensation, please respond only for professional employees, unless otherwise noted.</t>
  </si>
  <si>
    <t>Outside US (OUS)</t>
  </si>
  <si>
    <t>Profit on "Pass-Thrus"</t>
  </si>
  <si>
    <t>= Net Revenues - Direct Labor Cost + Profit on "Pass-Thrus"</t>
  </si>
  <si>
    <t>How many employees (including all staff) does/did your firm:</t>
  </si>
  <si>
    <t>What % of your firm's gross revenues are generated from those services?</t>
  </si>
  <si>
    <t>Do you conduct stay interviews of employees?</t>
  </si>
  <si>
    <t>Profit from Subscriptions/Software?</t>
  </si>
  <si>
    <t>Yes, &gt;20%</t>
  </si>
  <si>
    <t>Yes, &lt;20%</t>
  </si>
  <si>
    <t>No / Not Yet</t>
  </si>
  <si>
    <t>Majority/Minoriry Investment?</t>
  </si>
  <si>
    <t>Majority</t>
  </si>
  <si>
    <t>Employees using AI Daily</t>
  </si>
  <si>
    <t>&lt;10%</t>
  </si>
  <si>
    <t>10-19%</t>
  </si>
  <si>
    <t>40-59%</t>
  </si>
  <si>
    <t>20-39%</t>
  </si>
  <si>
    <t>60-79%</t>
  </si>
  <si>
    <t>80-100%</t>
  </si>
  <si>
    <t>Sustainability - Offering services</t>
  </si>
  <si>
    <t>Yes, but the contribution to our bottom line is minimal</t>
  </si>
  <si>
    <t>Yes, and we are happy about its performance </t>
  </si>
  <si>
    <t>Yes, but we want to significantly expand, upskill or grow this practice</t>
  </si>
  <si>
    <t>No, and we don't plan to offer such services in the near future</t>
  </si>
  <si>
    <t>No, but we plan to offer such services in the near future</t>
  </si>
  <si>
    <t>I'd like to learn more how to establish or grow a sustainability practice in our firm</t>
  </si>
  <si>
    <t>Sustainability - ROI</t>
  </si>
  <si>
    <t>From clients through winning work</t>
  </si>
  <si>
    <t>From current employees through engaging and retaining our staff</t>
  </si>
  <si>
    <t>From prospective hires through attracting better candidates</t>
  </si>
  <si>
    <t>From our shareholders and investors (if applicable) through improved valuation and access to capital</t>
  </si>
  <si>
    <t>From regulation compliance and avoidance of risk</t>
  </si>
  <si>
    <t>We haven't seen an ROI from our sustainability efforts</t>
  </si>
  <si>
    <t>Sustainability - Regulations</t>
  </si>
  <si>
    <t>California SB253 and/ or SB261</t>
  </si>
  <si>
    <t>U.S. SEC climate-related disclosures (forthcoming)</t>
  </si>
  <si>
    <t>European Union CSRD</t>
  </si>
  <si>
    <t>United Kingdom SDR</t>
  </si>
  <si>
    <t>None of the above applies to our firm</t>
  </si>
  <si>
    <t>I'd like to know more about these regulations and how they might affect our firm</t>
  </si>
  <si>
    <t>Track Strategic Initiative Costs</t>
  </si>
  <si>
    <t>Track ROI of Strategic Initiative Costs</t>
  </si>
  <si>
    <t xml:space="preserve">ESG, DEI, and climate change initiatives have sparked intense debates and face varying levels of criticism and opposition. How do you perceive and respond to this </t>
  </si>
  <si>
    <t>dynamic?</t>
  </si>
  <si>
    <t>How does your firm primarily track these costs?</t>
  </si>
  <si>
    <t>How does your firm primarily track this ROI?</t>
  </si>
  <si>
    <r>
      <t xml:space="preserve">Defined here as [(Current Year Net Revenue –  Last Year Net Revenue) / Last Year Net Revenue], </t>
    </r>
    <r>
      <rPr>
        <b/>
        <sz val="11"/>
        <color theme="1"/>
        <rFont val="Calibri"/>
        <family val="2"/>
        <scheme val="minor"/>
      </rPr>
      <t>excluding</t>
    </r>
    <r>
      <rPr>
        <sz val="11"/>
        <color theme="1"/>
        <rFont val="Calibri"/>
        <family val="2"/>
        <scheme val="minor"/>
      </rPr>
      <t xml:space="preserve"> acquisitions, divestitures, discontinued operations, and FX fluctuations. Revenue growth from acquisitions should be counted as Internal / Organic Net Revenue Growth starting one year following the transaction.</t>
    </r>
  </si>
  <si>
    <t>Lease Libabilities</t>
  </si>
  <si>
    <t>A lessee’s right to use a leased item (ex: office space) over the duration of an agreed-upon lease term.</t>
  </si>
  <si>
    <t>The financial obligation of a lessee to make the payments arising from a lease.</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</si>
  <si>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t>
    </r>
  </si>
  <si>
    <r>
      <t xml:space="preserve">All employees whose roles are expected to have &gt;10% billability. This means that </t>
    </r>
    <r>
      <rPr>
        <b/>
        <sz val="11"/>
        <color theme="1"/>
        <rFont val="Calibri"/>
        <family val="2"/>
        <scheme val="minor"/>
      </rPr>
      <t>10% or more of their time is billed to a client</t>
    </r>
    <r>
      <rPr>
        <sz val="11"/>
        <color theme="1"/>
        <rFont val="Calibri"/>
        <family val="2"/>
        <scheme val="minor"/>
      </rPr>
      <t>.</t>
    </r>
  </si>
  <si>
    <r>
      <t xml:space="preserve">All employees whose roles are expected to have &lt;10% billability. This means that </t>
    </r>
    <r>
      <rPr>
        <b/>
        <sz val="11"/>
        <color theme="1"/>
        <rFont val="Calibri"/>
        <family val="2"/>
        <scheme val="minor"/>
      </rPr>
      <t>less than 10% of their time is billed to a client</t>
    </r>
    <r>
      <rPr>
        <sz val="11"/>
        <color theme="1"/>
        <rFont val="Calibri"/>
        <family val="2"/>
        <scheme val="minor"/>
      </rPr>
      <t>.</t>
    </r>
  </si>
  <si>
    <r>
      <t xml:space="preserve">A subset of overhead costs: wages associated with "non-billable" / "dedicated" personnel (i.e., indirect labor). Most of these are related to the Shared / Corporate Services of an E/C firm.
These costs should not include bonuses or fringe benefits, which are counted separately. These costs should include PTO associated with "non-billable" / "dedicated" personnel. See each individual "bucket" for further details. </t>
    </r>
    <r>
      <rPr>
        <b/>
        <sz val="11"/>
        <color theme="1"/>
        <rFont val="Calibri"/>
        <family val="2"/>
        <scheme val="minor"/>
      </rPr>
      <t>Note that for the purposes of this survey, these categories include only "non-billable" or "dedicated" personnel (see above).</t>
    </r>
  </si>
  <si>
    <t>These costs could range from indirect labor (Chief Legal Officer, Risk Management personnel, etc.) to non-labor (insurance, legal fees, etc.).</t>
  </si>
  <si>
    <t>Costs related to the housing of equipment and personnel, as well as personnel required to maintain and operate the facilities. This should also include expenses incurred for office space rental, common area maintenance (CAM) and utilities.</t>
  </si>
  <si>
    <t>Professional employees include exempt / and non-exempt engineers, scientists, architects, construction managers, executives and overhead staff who work 30 or more hours per week.</t>
  </si>
  <si>
    <t>Non-Professional Employees: Non-professional employees include exempt / and non-exempt office clerks, technicians, and construction craft workers who work less than 30 hours per week.</t>
  </si>
  <si>
    <t>Sustainability for professional service firms, particularly in engineering and environmental sectors, involves integrating eco-friendly practices, promoting social responsibility, and ensuring economic viability in projects and operations to support long-term environmental health and community well-being.</t>
  </si>
  <si>
    <t>ESG stands for Environmental, Social, and Governance. It involves evaluating your firm's practices based on environmental stewardship, social responsibility, and governance standards to ensure sustainable, ethical, and efficient project outcomes and business operations.</t>
  </si>
  <si>
    <t>No, but we are planning to</t>
  </si>
  <si>
    <t>No, but we want to be able to</t>
  </si>
  <si>
    <t>No, and we do not plan on it</t>
  </si>
  <si>
    <t>In a typical year, what % of employees get a bonus of more than $3,000?</t>
  </si>
  <si>
    <t>Does your firm invest in foundational technology / innovation to drive efficiency and / or increase utilization?</t>
  </si>
  <si>
    <t>Does your firm invest in foundational technology / innovation to improve your value proposition to clients?</t>
  </si>
  <si>
    <t>Costs related to the office of the CEO, the Chairman, and / or the Board of Directors. These costs could include indirect labor like executive assistants as well as non-labor like office furniture, memberships to clubs (for use with clients), etc. Please also include any indirect labor costs related to dedicated strategy employees (ex: Chief Strategy Officer). Any external consulting fees should be classified as nonlabor either in this section (if advising the CEO or company as a whole) or as nonlabor in the appropriate functional area in which the consultant supports.</t>
  </si>
  <si>
    <r>
      <t xml:space="preserve">If so, what </t>
    </r>
    <r>
      <rPr>
        <i/>
        <u/>
        <sz val="14"/>
        <color theme="1"/>
        <rFont val="Calibri"/>
        <family val="2"/>
        <scheme val="minor"/>
      </rPr>
      <t xml:space="preserve">discount </t>
    </r>
    <r>
      <rPr>
        <i/>
        <sz val="14"/>
        <color theme="1"/>
        <rFont val="Calibri"/>
        <family val="2"/>
        <scheme val="minor"/>
      </rPr>
      <t>did you apply , if any, for that firm?</t>
    </r>
  </si>
  <si>
    <t>Workforce Inclusivity</t>
  </si>
  <si>
    <t>Does / did your firm have a workforce inclusivity program:</t>
  </si>
  <si>
    <t>12 months ago?</t>
  </si>
  <si>
    <t>Other (please specify):</t>
  </si>
  <si>
    <t>Currently?</t>
  </si>
  <si>
    <t>Talent Engagement</t>
  </si>
  <si>
    <t>Non-executive positions?</t>
  </si>
  <si>
    <t>Executive positions?</t>
  </si>
  <si>
    <t>How frequently do you conduct compensation assessments for your:</t>
  </si>
  <si>
    <t>External Resources:</t>
  </si>
  <si>
    <t>Internal Resources:</t>
  </si>
  <si>
    <t>How often do you run employee engagement surveys?</t>
  </si>
  <si>
    <t>What tool(s) do you use?</t>
  </si>
  <si>
    <t xml:space="preserve">Do you offer leadership development program(s) / training(s) for your high-potential talent? </t>
  </si>
  <si>
    <t>What resource(s) do you use?</t>
  </si>
  <si>
    <t>What resource(s) / trainer(s) do you use?</t>
  </si>
  <si>
    <t>Workshare</t>
  </si>
  <si>
    <t>Does your firm have guidelines for “workshare” (i.e. the sharing of people / resources to support other teams within the company)?</t>
  </si>
  <si>
    <t>Does your firm incentivize workshare at the employee or team level?</t>
  </si>
  <si>
    <t>If your firm incentivizes workshare, what are the incentives for the employee and/or team providing the resources? (Select all that apply)</t>
  </si>
  <si>
    <t>Financial incentives for the team providing the resources:</t>
  </si>
  <si>
    <t>Financial incentives for the employee:</t>
  </si>
  <si>
    <t>Ability for employees to maintain / meet utilization targets:</t>
  </si>
  <si>
    <t>Demonstrating commitment to company culture / values:</t>
  </si>
  <si>
    <t>Other (Please specify):</t>
  </si>
  <si>
    <t>Opportunities to work on new projects and/or with other employees:</t>
  </si>
  <si>
    <t>During the last twelve months, in which client sectors or market segments have you seen the highest demand for Sustainability-related services?</t>
  </si>
  <si>
    <t xml:space="preserve">During the last twelve months, in which client sectors or market segments have you seen the lowest demand for Sustainability-related services? </t>
  </si>
  <si>
    <t>Indirect Labor:</t>
  </si>
  <si>
    <t>External Consultants:</t>
  </si>
  <si>
    <t>Software Fees:</t>
  </si>
  <si>
    <t>Have you seen a return on investment (ROI) from your current sustainability efforts? If so, where?</t>
  </si>
  <si>
    <t>Has your firm utilized a sustainability-linked loan?</t>
  </si>
  <si>
    <t>What interest rate reduction applies if your sustainability targets are met under the loan terms?</t>
  </si>
  <si>
    <t xml:space="preserve">What sustainability targets or KPIs were committed to under its terms? </t>
  </si>
  <si>
    <t>Is your firm offering Sustainability-related services to clients?</t>
  </si>
  <si>
    <t>Please give the %  of RFPs your firm engaged with that included specific Sustainability requirements, questions or metrics in 2024.</t>
  </si>
  <si>
    <t>Over the next two years, how do you expect client demand for sustainability and climate-resilient services to change for your firm?</t>
  </si>
  <si>
    <t>How is your firm responding (or planning to respond) to the evolving sustainability market?</t>
  </si>
  <si>
    <t>(If yes, what %):</t>
  </si>
  <si>
    <t>How challenging is it to increase pricing?</t>
  </si>
  <si>
    <t>How successful has your firm been at increasing pricing?</t>
  </si>
  <si>
    <t>How did you decide which clients / projects to be more selective with?</t>
  </si>
  <si>
    <t>What are your firm's aspirations for Generative AI adoption?</t>
  </si>
  <si>
    <t>Strategy</t>
  </si>
  <si>
    <t>Approximately what % of your revenues come from Management Consulting / Advisory services?</t>
  </si>
  <si>
    <t>In the last 12 months, how has your firm's mix of Firm Fixed Price / Lump Sum work changed?</t>
  </si>
  <si>
    <t>What is primarily driving this shift?</t>
  </si>
  <si>
    <r>
      <t xml:space="preserve">If so, for each of the following business processes, please select the </t>
    </r>
    <r>
      <rPr>
        <i/>
        <u/>
        <sz val="14"/>
        <rFont val="Calibri"/>
        <family val="2"/>
        <scheme val="minor"/>
      </rPr>
      <t>percentage of FTEs</t>
    </r>
    <r>
      <rPr>
        <i/>
        <sz val="14"/>
        <rFont val="Calibri"/>
        <family val="2"/>
        <scheme val="minor"/>
      </rPr>
      <t xml:space="preserve"> that you offshore.</t>
    </r>
  </si>
  <si>
    <t>Back-office / support services</t>
  </si>
  <si>
    <t>Product / software development</t>
  </si>
  <si>
    <t>Asset management data processing</t>
  </si>
  <si>
    <t>What other processes do you offshore?</t>
  </si>
  <si>
    <t>Recession</t>
  </si>
  <si>
    <t>How concerned (if at all) are you about the impact of a potential recession on your firm?</t>
  </si>
  <si>
    <t>Which of the following changes (if any) are you making in preparation for a recession? (Select all that apply.)</t>
  </si>
  <si>
    <t>Focusing on working capital.</t>
  </si>
  <si>
    <t>Reducing planned investment in tech/innovation.</t>
  </si>
  <si>
    <t>Reducing/pausing hiring.</t>
  </si>
  <si>
    <t>Reducing/pausing planned M&amp;A activity.</t>
  </si>
  <si>
    <t>Reducing other strategic investments.</t>
  </si>
  <si>
    <t>Securing line(s) of credit and/or taking out a loan.</t>
  </si>
  <si>
    <t>Other (enter details directly)</t>
  </si>
  <si>
    <r>
      <rPr>
        <sz val="16"/>
        <color theme="1"/>
        <rFont val="Calibri"/>
        <family val="2"/>
        <scheme val="minor"/>
      </rPr>
      <t>Please reach out to</t>
    </r>
    <r>
      <rPr>
        <b/>
        <sz val="16"/>
        <color theme="1"/>
        <rFont val="Calibri"/>
        <family val="2"/>
        <scheme val="minor"/>
      </rPr>
      <t xml:space="preserve"> </t>
    </r>
    <r>
      <rPr>
        <b/>
        <u/>
        <sz val="16"/>
        <color theme="1"/>
        <rFont val="Calibri"/>
        <family val="2"/>
        <scheme val="minor"/>
      </rPr>
      <t xml:space="preserve">Ethan McCue </t>
    </r>
    <r>
      <rPr>
        <b/>
        <sz val="16"/>
        <color theme="1"/>
        <rFont val="Calibri"/>
        <family val="2"/>
        <scheme val="minor"/>
      </rPr>
      <t xml:space="preserve">(emccue@efcg.com) </t>
    </r>
    <r>
      <rPr>
        <sz val="16"/>
        <color theme="1"/>
        <rFont val="Calibri"/>
        <family val="2"/>
        <scheme val="minor"/>
      </rPr>
      <t>when ready to submit your completed form.</t>
    </r>
  </si>
  <si>
    <t>Which of the following best captures your belief about the possiblity of a recession in the next 12 months?</t>
  </si>
  <si>
    <t>Highest Paid 5% of Employees (Billable and Non-Billable)</t>
  </si>
  <si>
    <t xml:space="preserve">= Total Hours Billed to Client / Total Available Hours of </t>
  </si>
  <si>
    <t>Respective Professional Employees, as a %</t>
  </si>
  <si>
    <t>Next Highest Paid 10% of Employees (Billable and Non-Billable)</t>
  </si>
  <si>
    <t>Set-aside business certification M&amp;A discount</t>
  </si>
  <si>
    <t>&lt;5%</t>
  </si>
  <si>
    <t>5-10%</t>
  </si>
  <si>
    <t>10-20%</t>
  </si>
  <si>
    <t>Workforce inclusivity program 12 months ago</t>
  </si>
  <si>
    <t>Workforce inclusivity program currently</t>
  </si>
  <si>
    <t>Somewhat, we were developing one</t>
  </si>
  <si>
    <t>No, but we were discussing it/planning to</t>
  </si>
  <si>
    <t>No, and we were not planning to</t>
  </si>
  <si>
    <t>Somewhat, we are developing one</t>
  </si>
  <si>
    <t>No, but we are discussing it/planning to</t>
  </si>
  <si>
    <t>No, and we are not planning to</t>
  </si>
  <si>
    <t>Talent Frequency</t>
  </si>
  <si>
    <t>Quarterly</t>
  </si>
  <si>
    <t>Every 6 Months</t>
  </si>
  <si>
    <t>Annually</t>
  </si>
  <si>
    <t>Every 2+ Years</t>
  </si>
  <si>
    <t>Yes, but we are considering changing our training</t>
  </si>
  <si>
    <t>No, but we are considering it</t>
  </si>
  <si>
    <t>BLP/AI Training</t>
  </si>
  <si>
    <t>Yes – it directly benefits the employee and/or the team providing the resources</t>
  </si>
  <si>
    <t xml:space="preserve">No – there are more costs/downsides than there are benefits to the employee and/or team providing the resources </t>
  </si>
  <si>
    <t>We neither incentivize it nor disincentivize it</t>
  </si>
  <si>
    <t>Incentivize workshare?</t>
  </si>
  <si>
    <t>Grow significantly (&gt; 15 % increase)              </t>
  </si>
  <si>
    <t>Grow modestly (1 – 15 % increase) </t>
  </si>
  <si>
    <t>Remain about the same (± 1 %)</t>
  </si>
  <si>
    <t>Decline modestly (1 – 15 % decrease)          </t>
  </si>
  <si>
    <t>Decline significantly (&gt; 15 % decrease)       </t>
  </si>
  <si>
    <t>Unsure / Prefer not to answer</t>
  </si>
  <si>
    <t>Increase investment: expand staff, budget, or service offerings in sustainability           </t>
  </si>
  <si>
    <t>Scale back selectively: reduce investment / headcount but keep a core capability</t>
  </si>
  <si>
    <t>Maintain current level of effort          </t>
  </si>
  <si>
    <t>Phase out: plan to exit sustainability services entirely       </t>
  </si>
  <si>
    <t>Undecided / Monitoring the situation</t>
  </si>
  <si>
    <t>Response to evolving ESG market</t>
  </si>
  <si>
    <t>Expected change in demand for ESG service in next 2Y</t>
  </si>
  <si>
    <t>Ease of increasing pricing</t>
  </si>
  <si>
    <t>Very significant challenge</t>
  </si>
  <si>
    <t>Moderate challenge</t>
  </si>
  <si>
    <t>Slight challenge</t>
  </si>
  <si>
    <t>No challenge </t>
  </si>
  <si>
    <t>Success in increasing pricing</t>
  </si>
  <si>
    <t>Very successful</t>
  </si>
  <si>
    <t>Moderately successful</t>
  </si>
  <si>
    <t>Somewhat successful</t>
  </si>
  <si>
    <t>Not at all successful</t>
  </si>
  <si>
    <t>Determining client selectivity</t>
  </si>
  <si>
    <t>Pricing or margin challenges</t>
  </si>
  <si>
    <t>Poor payment terms / slow payments</t>
  </si>
  <si>
    <t>Less employee interest</t>
  </si>
  <si>
    <t>Not aligned to firm strategy / not strategic client</t>
  </si>
  <si>
    <t>All of the above</t>
  </si>
  <si>
    <t>Investment in AI training</t>
  </si>
  <si>
    <t>&gt;10% of training budget</t>
  </si>
  <si>
    <t>5-10% of training budget</t>
  </si>
  <si>
    <t>&lt;5% of training budget</t>
  </si>
  <si>
    <t>No investment yet</t>
  </si>
  <si>
    <t>Aspirations for AI adoption</t>
  </si>
  <si>
    <t>Bleeding edge / Market leader</t>
  </si>
  <si>
    <t>Fast follower</t>
  </si>
  <si>
    <t>Steady follower</t>
  </si>
  <si>
    <t>Slow follower</t>
  </si>
  <si>
    <t>% Revenues from management consulting</t>
  </si>
  <si>
    <t>&gt;30%</t>
  </si>
  <si>
    <t>21-30%</t>
  </si>
  <si>
    <t>11-20%</t>
  </si>
  <si>
    <t>Increased</t>
  </si>
  <si>
    <t>Held Steady</t>
  </si>
  <si>
    <t>Client demand</t>
  </si>
  <si>
    <t>Company strategy </t>
  </si>
  <si>
    <t>Both</t>
  </si>
  <si>
    <t>FFP mix change in last 12 months</t>
  </si>
  <si>
    <t>Driver of change in FFP mix</t>
  </si>
  <si>
    <t>Sustainability Loan?</t>
  </si>
  <si>
    <t>Yes, with our sustainability performance linked to the loan's interest rate</t>
  </si>
  <si>
    <t>Yes, but without a reduction in the interest rate</t>
  </si>
  <si>
    <t>We are exploring such options</t>
  </si>
  <si>
    <t>% FTEs Offshored</t>
  </si>
  <si>
    <t>20-30%</t>
  </si>
  <si>
    <t>Recession belief</t>
  </si>
  <si>
    <t>There will NOT be a recession</t>
  </si>
  <si>
    <t>There will be a SEVERE recession</t>
  </si>
  <si>
    <t>There will be a MODERATE recession</t>
  </si>
  <si>
    <t>There will be a SLIGHT recession</t>
  </si>
  <si>
    <t>Impact of recession</t>
  </si>
  <si>
    <t>Extremely concerned</t>
  </si>
  <si>
    <t>Minimally concerned</t>
  </si>
  <si>
    <t>Think it will be beneficial</t>
  </si>
  <si>
    <t>2025</t>
  </si>
  <si>
    <t>How much does your firm invest in training employees to effectively use Generative AI tools?</t>
  </si>
  <si>
    <t>What resource(s) do you use for your:</t>
  </si>
  <si>
    <t>Executive comp assessments?</t>
  </si>
  <si>
    <t>Non-executive comp assessments?</t>
  </si>
  <si>
    <t>Is your firm in Management Consulting / Advisory services?</t>
  </si>
  <si>
    <t>(11) Market Dynamics</t>
  </si>
  <si>
    <t>(12) Capital Expenditures</t>
  </si>
  <si>
    <t>(13) M&amp;A Activity</t>
  </si>
  <si>
    <t>(14) Company Stock</t>
  </si>
  <si>
    <t>(15) Corporate Governance</t>
  </si>
  <si>
    <t>(16) Talent Management and Compensation</t>
  </si>
  <si>
    <r>
      <rPr>
        <sz val="14"/>
        <color theme="1"/>
        <rFont val="Aptos Narrow"/>
        <family val="2"/>
      </rPr>
      <t xml:space="preserve">In the </t>
    </r>
    <r>
      <rPr>
        <u/>
        <sz val="14"/>
        <color theme="1"/>
        <rFont val="Aptos Narrow"/>
        <family val="2"/>
      </rPr>
      <t>last 5 years</t>
    </r>
    <r>
      <rPr>
        <sz val="14"/>
        <color theme="1"/>
        <rFont val="Aptos Narrow"/>
        <family val="2"/>
      </rPr>
      <t>, have you made an acquisition</t>
    </r>
  </si>
  <si>
    <r>
      <rPr>
        <sz val="14"/>
        <color theme="1"/>
        <rFont val="Aptos Narrow"/>
        <family val="2"/>
      </rPr>
      <t xml:space="preserve">to build your </t>
    </r>
    <r>
      <rPr>
        <b/>
        <u/>
        <sz val="14"/>
        <color theme="1"/>
        <rFont val="Aptos Narrow"/>
        <family val="2"/>
      </rPr>
      <t>technology/innovation</t>
    </r>
    <r>
      <rPr>
        <sz val="14"/>
        <color theme="1"/>
        <rFont val="Aptos Narrow"/>
        <family val="2"/>
      </rPr>
      <t xml:space="preserve"> capabilities?</t>
    </r>
  </si>
  <si>
    <r>
      <rPr>
        <sz val="14"/>
        <color theme="1"/>
        <rFont val="Aptos Narrow"/>
        <family val="2"/>
      </rPr>
      <t xml:space="preserve">which includes </t>
    </r>
    <r>
      <rPr>
        <b/>
        <u/>
        <sz val="14"/>
        <color theme="1"/>
        <rFont val="Aptos Narrow"/>
        <family val="2"/>
      </rPr>
      <t>set-aside business certifications</t>
    </r>
    <r>
      <rPr>
        <sz val="14"/>
        <color theme="1"/>
        <rFont val="Aptos Narrow"/>
        <family val="2"/>
      </rPr>
      <t>?</t>
    </r>
  </si>
  <si>
    <t>No premium or discount</t>
  </si>
  <si>
    <r>
      <t xml:space="preserve">If so, what </t>
    </r>
    <r>
      <rPr>
        <i/>
        <u/>
        <sz val="14"/>
        <color theme="1"/>
        <rFont val="Calibri"/>
        <family val="2"/>
        <scheme val="minor"/>
      </rPr>
      <t xml:space="preserve">premium </t>
    </r>
    <r>
      <rPr>
        <i/>
        <sz val="14"/>
        <color theme="1"/>
        <rFont val="Calibri"/>
        <family val="2"/>
        <scheme val="minor"/>
      </rPr>
      <t>did you apply , if any, for that firm?</t>
    </r>
  </si>
  <si>
    <t xml:space="preserve">Are you conducting AI training for employees?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</si>
</sst>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0.000000000"/>
    <numFmt numFmtId="168" formatCode="0.0"/>
    <numFmt numFmtId="169" formatCode="mm/dd/yyyy;@"/>
    <numFmt numFmtId="170" formatCode="0.00000"/>
    <numFmt numFmtId="171" formatCode="0.0000000000"/>
  </numFmts>
  <fonts count="106" x14ac:knownFonts="1">
    <font>
      <sz val="11"/>
      <color theme="1"/>
      <name val="Calibri"/>
      <family val="2"/>
      <scheme val="minor"/>
    </font>
    <font>
      <sz val="12"/>
      <name val="Tms Rmn"/>
    </font>
    <font>
      <b/>
      <sz val="26"/>
      <name val="Calibri"/>
      <family val="1"/>
      <scheme val="minor"/>
    </font>
    <font>
      <b/>
      <u/>
      <sz val="16"/>
      <name val="Calibri"/>
      <family val="1"/>
      <scheme val="minor"/>
    </font>
    <font>
      <b/>
      <sz val="12"/>
      <name val="Calibri"/>
      <family val="1"/>
      <scheme val="minor"/>
    </font>
    <font>
      <sz val="13"/>
      <name val="Calibri"/>
      <family val="1"/>
      <scheme val="minor"/>
    </font>
    <font>
      <sz val="14"/>
      <name val="Calibri"/>
      <family val="1"/>
      <scheme val="minor"/>
    </font>
    <font>
      <b/>
      <sz val="14"/>
      <name val="Calibri"/>
      <family val="1"/>
      <scheme val="minor"/>
    </font>
    <font>
      <b/>
      <sz val="13"/>
      <name val="Calibri"/>
      <family val="1"/>
      <scheme val="minor"/>
    </font>
    <font>
      <sz val="12"/>
      <name val="Calibri"/>
      <family val="1"/>
      <scheme val="minor"/>
    </font>
    <font>
      <b/>
      <i/>
      <sz val="12"/>
      <name val="Calibri"/>
      <family val="1"/>
      <scheme val="minor"/>
    </font>
    <font>
      <sz val="10"/>
      <name val="Arial"/>
      <family val="2"/>
    </font>
    <font>
      <sz val="11"/>
      <color rgb="FF3333FF"/>
      <name val="Calibri"/>
      <family val="2"/>
      <scheme val="minor"/>
    </font>
    <font>
      <b/>
      <u/>
      <sz val="18"/>
      <name val="Calibri"/>
      <family val="1"/>
      <scheme val="minor"/>
    </font>
    <font>
      <sz val="18"/>
      <color theme="1"/>
      <name val="Calibri"/>
      <family val="2"/>
      <scheme val="minor"/>
    </font>
    <font>
      <sz val="11"/>
      <color rgb="FF008000"/>
      <name val="Calibri"/>
      <family val="2"/>
      <scheme val="minor"/>
    </font>
    <font>
      <sz val="10"/>
      <color indexed="81"/>
      <name val="Calibri"/>
      <family val="2"/>
    </font>
    <font>
      <sz val="12"/>
      <color rgb="FF3333FF"/>
      <name val="Calibri"/>
      <family val="2"/>
      <scheme val="minor"/>
    </font>
    <font>
      <b/>
      <sz val="10"/>
      <color indexed="81"/>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3333FF"/>
      <name val="Calibri"/>
      <family val="2"/>
      <scheme val="minor"/>
    </font>
    <font>
      <sz val="14"/>
      <color rgb="FF3333FF"/>
      <name val="Calibri"/>
      <family val="2"/>
      <scheme val="minor"/>
    </font>
    <font>
      <i/>
      <sz val="14"/>
      <color rgb="FF3333FF"/>
      <name val="Calibri"/>
      <family val="2"/>
      <scheme val="minor"/>
    </font>
    <font>
      <sz val="11"/>
      <name val="Calibri"/>
      <family val="1"/>
      <scheme val="minor"/>
    </font>
    <font>
      <i/>
      <sz val="14"/>
      <color theme="1"/>
      <name val="Calibri"/>
      <family val="2"/>
      <scheme val="minor"/>
    </font>
    <font>
      <b/>
      <u/>
      <sz val="14"/>
      <color theme="1"/>
      <name val="Calibri"/>
      <family val="2"/>
      <scheme val="minor"/>
    </font>
    <font>
      <b/>
      <u/>
      <sz val="16"/>
      <name val="Calibri"/>
      <family val="2"/>
      <scheme val="minor"/>
    </font>
    <font>
      <sz val="11"/>
      <color theme="1"/>
      <name val="Calibri"/>
      <family val="2"/>
      <scheme val="minor"/>
    </font>
    <font>
      <sz val="14"/>
      <color rgb="FF3333FF"/>
      <name val="Calibri"/>
      <family val="1"/>
      <scheme val="minor"/>
    </font>
    <font>
      <sz val="14"/>
      <name val="Calibri"/>
      <family val="2"/>
      <scheme val="minor"/>
    </font>
    <font>
      <b/>
      <sz val="14"/>
      <color rgb="FFC00000"/>
      <name val="Calibri"/>
      <family val="2"/>
      <scheme val="minor"/>
    </font>
    <font>
      <b/>
      <sz val="14"/>
      <color theme="9" tint="-0.499984740745262"/>
      <name val="Calibri"/>
      <family val="2"/>
      <scheme val="minor"/>
    </font>
    <font>
      <i/>
      <sz val="14"/>
      <name val="Calibri"/>
      <family val="2"/>
      <scheme val="minor"/>
    </font>
    <font>
      <sz val="16"/>
      <color theme="1"/>
      <name val="Calibri"/>
      <family val="2"/>
      <scheme val="minor"/>
    </font>
    <font>
      <b/>
      <sz val="16"/>
      <color theme="1"/>
      <name val="Calibri"/>
      <family val="2"/>
      <scheme val="minor"/>
    </font>
    <font>
      <b/>
      <sz val="22"/>
      <name val="Calibri"/>
      <family val="1"/>
      <scheme val="minor"/>
    </font>
    <font>
      <b/>
      <sz val="24"/>
      <color theme="0"/>
      <name val="Calibri"/>
      <family val="1"/>
      <scheme val="minor"/>
    </font>
    <font>
      <u/>
      <sz val="14"/>
      <color theme="1"/>
      <name val="Calibri"/>
      <family val="2"/>
      <scheme val="minor"/>
    </font>
    <font>
      <sz val="12"/>
      <color theme="1"/>
      <name val="Calibri"/>
      <family val="2"/>
      <scheme val="minor"/>
    </font>
    <font>
      <sz val="16"/>
      <name val="Calibri"/>
      <family val="2"/>
      <scheme val="minor"/>
    </font>
    <font>
      <b/>
      <sz val="16"/>
      <name val="Calibri"/>
      <family val="2"/>
      <scheme val="minor"/>
    </font>
    <font>
      <b/>
      <sz val="12"/>
      <color theme="1"/>
      <name val="Calibri"/>
      <family val="2"/>
      <scheme val="minor"/>
    </font>
    <font>
      <u/>
      <sz val="15"/>
      <name val="Calibri"/>
      <family val="2"/>
      <scheme val="minor"/>
    </font>
    <font>
      <i/>
      <u/>
      <sz val="14"/>
      <name val="Calibri"/>
      <family val="2"/>
      <scheme val="minor"/>
    </font>
    <font>
      <i/>
      <u/>
      <sz val="14"/>
      <color theme="1"/>
      <name val="Calibri"/>
      <family val="2"/>
      <scheme val="minor"/>
    </font>
    <font>
      <b/>
      <sz val="15"/>
      <color theme="1"/>
      <name val="Calibri"/>
      <family val="2"/>
      <scheme val="minor"/>
    </font>
    <font>
      <sz val="15"/>
      <name val="Calibri"/>
      <family val="2"/>
      <scheme val="minor"/>
    </font>
    <font>
      <sz val="15"/>
      <color theme="1"/>
      <name val="Calibri"/>
      <family val="2"/>
      <scheme val="minor"/>
    </font>
    <font>
      <i/>
      <sz val="11"/>
      <color theme="1"/>
      <name val="Calibri"/>
      <family val="2"/>
      <scheme val="minor"/>
    </font>
    <font>
      <i/>
      <sz val="11"/>
      <color rgb="FF3333FF"/>
      <name val="Calibri"/>
      <family val="2"/>
      <scheme val="minor"/>
    </font>
    <font>
      <b/>
      <sz val="11"/>
      <color theme="1"/>
      <name val="Calibri"/>
      <family val="2"/>
      <scheme val="minor"/>
    </font>
    <font>
      <i/>
      <sz val="12"/>
      <color theme="1"/>
      <name val="Calibri"/>
      <family val="2"/>
      <scheme val="minor"/>
    </font>
    <font>
      <b/>
      <u/>
      <sz val="14"/>
      <name val="Calibri"/>
      <family val="2"/>
      <scheme val="minor"/>
    </font>
    <font>
      <sz val="11"/>
      <name val="Calibri"/>
      <family val="2"/>
      <scheme val="minor"/>
    </font>
    <font>
      <u/>
      <sz val="11"/>
      <color theme="10"/>
      <name val="Calibri"/>
      <family val="2"/>
      <scheme val="minor"/>
    </font>
    <font>
      <u/>
      <sz val="11"/>
      <color theme="1"/>
      <name val="Calibri"/>
      <family val="2"/>
      <scheme val="minor"/>
    </font>
    <font>
      <u/>
      <sz val="11"/>
      <name val="Calibri"/>
      <family val="2"/>
      <scheme val="minor"/>
    </font>
    <font>
      <b/>
      <sz val="11"/>
      <color theme="0"/>
      <name val="Calibri"/>
      <family val="2"/>
      <scheme val="minor"/>
    </font>
    <font>
      <b/>
      <sz val="11"/>
      <color rgb="FFC00000"/>
      <name val="Calibri"/>
      <family val="2"/>
      <scheme val="minor"/>
    </font>
    <font>
      <b/>
      <sz val="11"/>
      <name val="Calibri"/>
      <family val="2"/>
      <scheme val="minor"/>
    </font>
    <font>
      <b/>
      <i/>
      <sz val="11"/>
      <color theme="1"/>
      <name val="Calibri"/>
      <family val="2"/>
      <scheme val="minor"/>
    </font>
    <font>
      <b/>
      <u/>
      <sz val="11"/>
      <name val="Calibri"/>
      <family val="2"/>
      <scheme val="minor"/>
    </font>
    <font>
      <b/>
      <sz val="11"/>
      <color theme="5"/>
      <name val="Calibri"/>
      <family val="2"/>
      <scheme val="minor"/>
    </font>
    <font>
      <b/>
      <i/>
      <sz val="11"/>
      <color rgb="FFC00000"/>
      <name val="Calibri"/>
      <family val="2"/>
      <scheme val="minor"/>
    </font>
    <font>
      <b/>
      <u/>
      <sz val="18"/>
      <name val="Calibri"/>
      <family val="2"/>
      <scheme val="minor"/>
    </font>
    <font>
      <sz val="11"/>
      <color indexed="81"/>
      <name val="Tahoma"/>
      <family val="2"/>
    </font>
    <font>
      <sz val="8"/>
      <name val="Calibri"/>
      <family val="2"/>
      <scheme val="minor"/>
    </font>
    <font>
      <u/>
      <sz val="10"/>
      <color indexed="81"/>
      <name val="Calibri"/>
      <family val="2"/>
    </font>
    <font>
      <b/>
      <u/>
      <sz val="12"/>
      <color theme="1"/>
      <name val="Calibri"/>
      <family val="2"/>
      <scheme val="minor"/>
    </font>
    <font>
      <u/>
      <sz val="14"/>
      <name val="Calibri"/>
      <family val="2"/>
      <scheme val="minor"/>
    </font>
    <font>
      <u/>
      <sz val="12"/>
      <color theme="1"/>
      <name val="Calibri"/>
      <family val="2"/>
      <scheme val="minor"/>
    </font>
    <font>
      <i/>
      <sz val="13.5"/>
      <color theme="1"/>
      <name val="Calibri"/>
      <family val="2"/>
      <scheme val="minor"/>
    </font>
    <font>
      <i/>
      <u/>
      <sz val="13.5"/>
      <color theme="1"/>
      <name val="Calibri"/>
      <family val="2"/>
      <scheme val="minor"/>
    </font>
    <font>
      <sz val="14"/>
      <color theme="9" tint="-0.499984740745262"/>
      <name val="Calibri"/>
      <family val="1"/>
      <scheme val="minor"/>
    </font>
    <font>
      <sz val="12"/>
      <name val="Calibri"/>
      <family val="2"/>
      <scheme val="minor"/>
    </font>
    <font>
      <b/>
      <sz val="12"/>
      <color rgb="FFC00000"/>
      <name val="Calibri"/>
      <family val="2"/>
      <scheme val="minor"/>
    </font>
    <font>
      <b/>
      <sz val="12"/>
      <name val="Calibri"/>
      <family val="2"/>
      <scheme val="minor"/>
    </font>
    <font>
      <b/>
      <u/>
      <sz val="16"/>
      <color theme="1"/>
      <name val="Calibri"/>
      <family val="2"/>
      <scheme val="minor"/>
    </font>
    <font>
      <b/>
      <sz val="14"/>
      <color rgb="FFFF0000"/>
      <name val="Calibri"/>
      <family val="2"/>
      <scheme val="minor"/>
    </font>
    <font>
      <i/>
      <sz val="16"/>
      <name val="Calibri"/>
      <family val="2"/>
      <scheme val="minor"/>
    </font>
    <font>
      <b/>
      <i/>
      <sz val="16"/>
      <name val="Calibri"/>
      <family val="2"/>
      <scheme val="minor"/>
    </font>
    <font>
      <b/>
      <u/>
      <sz val="15"/>
      <name val="Calibri"/>
      <family val="2"/>
      <scheme val="minor"/>
    </font>
    <font>
      <b/>
      <sz val="15"/>
      <name val="Calibri"/>
      <family val="2"/>
      <scheme val="minor"/>
    </font>
    <font>
      <b/>
      <sz val="15"/>
      <color theme="7" tint="-0.249977111117893"/>
      <name val="Calibri"/>
      <family val="2"/>
      <scheme val="minor"/>
    </font>
    <font>
      <i/>
      <sz val="10"/>
      <color indexed="81"/>
      <name val="Calibri"/>
      <family val="2"/>
    </font>
    <font>
      <b/>
      <u/>
      <sz val="12"/>
      <color theme="4"/>
      <name val="Calibri"/>
      <family val="2"/>
      <scheme val="minor"/>
    </font>
    <font>
      <sz val="12"/>
      <color theme="4"/>
      <name val="Calibri"/>
      <family val="2"/>
      <scheme val="minor"/>
    </font>
    <font>
      <i/>
      <sz val="12"/>
      <color theme="4"/>
      <name val="Calibri"/>
      <family val="2"/>
      <scheme val="minor"/>
    </font>
    <font>
      <b/>
      <sz val="12"/>
      <color rgb="FF3333FF"/>
      <name val="Calibri"/>
      <family val="2"/>
      <scheme val="minor"/>
    </font>
    <font>
      <b/>
      <sz val="12"/>
      <color theme="9" tint="-0.499984740745262"/>
      <name val="Calibri"/>
      <family val="2"/>
      <scheme val="minor"/>
    </font>
    <font>
      <sz val="13"/>
      <name val="Calibri"/>
      <family val="2"/>
      <scheme val="minor"/>
    </font>
    <font>
      <b/>
      <sz val="12"/>
      <color theme="4"/>
      <name val="Calibri"/>
      <family val="2"/>
      <scheme val="minor"/>
    </font>
    <font>
      <b/>
      <i/>
      <sz val="10"/>
      <color indexed="81"/>
      <name val="Calibri"/>
      <family val="2"/>
    </font>
    <font>
      <i/>
      <u/>
      <sz val="12"/>
      <name val="Calibri"/>
      <family val="2"/>
      <scheme val="minor"/>
    </font>
    <font>
      <sz val="10"/>
      <color theme="1"/>
      <name val="Calibri"/>
      <family val="2"/>
      <scheme val="minor"/>
    </font>
    <font>
      <i/>
      <sz val="15"/>
      <color theme="1"/>
      <name val="Calibri"/>
      <family val="2"/>
      <scheme val="minor"/>
    </font>
    <font>
      <b/>
      <u/>
      <sz val="10"/>
      <color indexed="81"/>
      <name val="Calibri"/>
      <family val="2"/>
    </font>
    <font>
      <b/>
      <u/>
      <sz val="15"/>
      <color theme="1"/>
      <name val="Calibri"/>
      <family val="2"/>
      <scheme val="minor"/>
    </font>
    <font>
      <sz val="14"/>
      <color rgb="FF0000FF"/>
      <name val="Calibri"/>
      <family val="2"/>
    </font>
    <font>
      <i/>
      <sz val="14"/>
      <name val="Calibri"/>
      <family val="2"/>
    </font>
    <font>
      <sz val="11"/>
      <color theme="1"/>
      <name val="Calibri"/>
      <family val="2"/>
    </font>
    <font>
      <sz val="14"/>
      <color theme="1"/>
      <name val="Aptos Narrow"/>
      <family val="2"/>
    </font>
    <font>
      <u/>
      <sz val="14"/>
      <color theme="1"/>
      <name val="Aptos Narrow"/>
      <family val="2"/>
    </font>
    <font>
      <b/>
      <u/>
      <sz val="14"/>
      <color theme="1"/>
      <name val="Aptos Narrow"/>
      <family val="2"/>
    </font>
  </fonts>
  <fills count="14">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CC"/>
        <bgColor indexed="64"/>
      </patternFill>
    </fill>
    <fill>
      <patternFill patternType="solid">
        <fgColor rgb="FFFFBDBD"/>
        <bgColor indexed="64"/>
      </patternFill>
    </fill>
    <fill>
      <patternFill patternType="solid">
        <fgColor theme="6"/>
        <bgColor indexed="64"/>
      </patternFill>
    </fill>
    <fill>
      <patternFill patternType="solid">
        <fgColor theme="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rgb="FFFFFFCC"/>
      </patternFill>
    </fill>
  </fills>
  <borders count="25">
    <border>
      <left/>
      <right/>
      <top/>
      <bottom/>
      <diagonal/>
    </border>
    <border>
      <left/>
      <right/>
      <top/>
      <bottom style="thin">
        <color indexed="64"/>
      </bottom>
      <diagonal/>
    </border>
    <border>
      <left/>
      <right/>
      <top/>
      <bottom style="dashed">
        <color indexed="64"/>
      </bottom>
      <diagonal/>
    </border>
    <border>
      <left/>
      <right/>
      <top style="thin">
        <color indexed="64"/>
      </top>
      <bottom/>
      <diagonal/>
    </border>
    <border>
      <left/>
      <right/>
      <top/>
      <bottom style="double">
        <color indexed="64"/>
      </bottom>
      <diagonal/>
    </border>
    <border>
      <left/>
      <right/>
      <top/>
      <bottom style="hair">
        <color auto="1"/>
      </bottom>
      <diagonal/>
    </border>
    <border>
      <left/>
      <right/>
      <top/>
      <bottom style="medium">
        <color indexed="64"/>
      </bottom>
      <diagonal/>
    </border>
    <border>
      <left/>
      <right/>
      <top style="dashed">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bottom style="thin">
        <color indexed="64"/>
      </bottom>
      <diagonal/>
    </border>
    <border>
      <left style="dashed">
        <color indexed="64"/>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9" fontId="11" fillId="0" borderId="0" applyFont="0" applyFill="0" applyBorder="0" applyAlignment="0" applyProtection="0"/>
    <xf numFmtId="9" fontId="29" fillId="0" borderId="0" applyFont="0" applyFill="0" applyBorder="0" applyAlignment="0" applyProtection="0"/>
    <xf numFmtId="0" fontId="56" fillId="0" borderId="0" applyNumberFormat="0" applyFill="0" applyBorder="0" applyAlignment="0" applyProtection="0"/>
  </cellStyleXfs>
  <cellXfs count="493">
    <xf numFmtId="0" fontId="0" fillId="0" borderId="0" xfId="0"/>
    <xf numFmtId="0" fontId="0" fillId="0" borderId="0" xfId="0" applyProtection="1">
      <protection hidden="1"/>
    </xf>
    <xf numFmtId="0" fontId="38" fillId="2" borderId="0" xfId="1" quotePrefix="1" applyFont="1" applyFill="1" applyAlignment="1" applyProtection="1">
      <alignment horizontal="centerContinuous" vertical="center"/>
      <protection hidden="1"/>
    </xf>
    <xf numFmtId="0" fontId="37" fillId="2" borderId="0" xfId="1" quotePrefix="1" applyFont="1" applyFill="1" applyAlignment="1" applyProtection="1">
      <alignment horizontal="centerContinuous" vertical="center"/>
      <protection hidden="1"/>
    </xf>
    <xf numFmtId="0" fontId="2" fillId="2" borderId="0" xfId="1" quotePrefix="1" applyFont="1" applyFill="1" applyAlignment="1" applyProtection="1">
      <alignment horizontal="centerContinuous" vertical="center"/>
      <protection hidden="1"/>
    </xf>
    <xf numFmtId="0" fontId="23" fillId="3" borderId="0" xfId="1" applyFont="1" applyFill="1" applyProtection="1">
      <protection hidden="1"/>
    </xf>
    <xf numFmtId="0" fontId="0" fillId="3" borderId="0" xfId="0" applyFill="1" applyProtection="1">
      <protection hidden="1"/>
    </xf>
    <xf numFmtId="0" fontId="0" fillId="0" borderId="0" xfId="0" applyAlignment="1">
      <alignment horizontal="right"/>
    </xf>
    <xf numFmtId="0" fontId="15" fillId="0" borderId="0" xfId="0" applyFont="1"/>
    <xf numFmtId="0" fontId="60" fillId="0" borderId="0" xfId="0" applyFont="1"/>
    <xf numFmtId="0" fontId="52" fillId="8" borderId="0" xfId="0" applyFont="1" applyFill="1"/>
    <xf numFmtId="0" fontId="52" fillId="0" borderId="0" xfId="0" applyFont="1"/>
    <xf numFmtId="0" fontId="61" fillId="5" borderId="0" xfId="0" applyFont="1" applyFill="1"/>
    <xf numFmtId="0" fontId="50" fillId="0" borderId="0" xfId="0" applyFont="1" applyAlignment="1">
      <alignment horizontal="left" indent="2"/>
    </xf>
    <xf numFmtId="0" fontId="55" fillId="0" borderId="0" xfId="0" applyFont="1"/>
    <xf numFmtId="0" fontId="59" fillId="8" borderId="0" xfId="0" applyFont="1" applyFill="1"/>
    <xf numFmtId="0" fontId="61" fillId="7" borderId="0" xfId="0" applyFont="1" applyFill="1"/>
    <xf numFmtId="0" fontId="55" fillId="7" borderId="0" xfId="0" applyFont="1" applyFill="1"/>
    <xf numFmtId="0" fontId="35" fillId="0" borderId="0" xfId="0" applyFont="1" applyAlignment="1">
      <alignment horizontal="centerContinuous"/>
    </xf>
    <xf numFmtId="0" fontId="0" fillId="0" borderId="0" xfId="0" applyAlignment="1">
      <alignment horizontal="centerContinuous"/>
    </xf>
    <xf numFmtId="0" fontId="66" fillId="0" borderId="0" xfId="0" applyFont="1" applyAlignment="1">
      <alignment horizontal="centerContinuous"/>
    </xf>
    <xf numFmtId="0" fontId="19" fillId="0" borderId="0" xfId="0" quotePrefix="1" applyFont="1"/>
    <xf numFmtId="0" fontId="20" fillId="0" borderId="0" xfId="0" applyFont="1"/>
    <xf numFmtId="0" fontId="19" fillId="0" borderId="0" xfId="0" applyFont="1"/>
    <xf numFmtId="0" fontId="26" fillId="0" borderId="0" xfId="0" applyFont="1" applyAlignment="1">
      <alignment horizontal="left" indent="1"/>
    </xf>
    <xf numFmtId="0" fontId="61" fillId="4" borderId="0" xfId="0" applyFont="1" applyFill="1"/>
    <xf numFmtId="0" fontId="61" fillId="10" borderId="0" xfId="0" applyFont="1" applyFill="1"/>
    <xf numFmtId="0" fontId="55" fillId="10" borderId="0" xfId="0" applyFont="1" applyFill="1"/>
    <xf numFmtId="0" fontId="55" fillId="4" borderId="0" xfId="0" applyFont="1" applyFill="1"/>
    <xf numFmtId="0" fontId="0" fillId="0" borderId="8" xfId="0" applyBorder="1"/>
    <xf numFmtId="0" fontId="55" fillId="5" borderId="0" xfId="0" applyFont="1" applyFill="1"/>
    <xf numFmtId="0" fontId="12" fillId="6" borderId="0" xfId="1" applyFont="1" applyFill="1" applyAlignment="1" applyProtection="1">
      <alignment horizontal="left"/>
      <protection locked="0"/>
    </xf>
    <xf numFmtId="0" fontId="61" fillId="4" borderId="0" xfId="0" applyFont="1" applyFill="1" applyProtection="1">
      <protection locked="0"/>
    </xf>
    <xf numFmtId="0" fontId="55" fillId="4" borderId="0" xfId="0" applyFont="1" applyFill="1" applyProtection="1">
      <protection locked="0"/>
    </xf>
    <xf numFmtId="0" fontId="59" fillId="8" borderId="0" xfId="0" applyFont="1" applyFill="1" applyProtection="1">
      <protection locked="0"/>
    </xf>
    <xf numFmtId="0" fontId="52" fillId="8" borderId="0" xfId="0" applyFont="1" applyFill="1" applyProtection="1">
      <protection locked="0"/>
    </xf>
    <xf numFmtId="0" fontId="0" fillId="0" borderId="0" xfId="0" applyProtection="1">
      <protection locked="0"/>
    </xf>
    <xf numFmtId="0" fontId="52" fillId="0" borderId="0" xfId="0" applyFont="1" applyProtection="1">
      <protection locked="0"/>
    </xf>
    <xf numFmtId="0" fontId="50" fillId="0" borderId="0" xfId="0" applyFont="1" applyAlignment="1" applyProtection="1">
      <alignment horizontal="left" indent="2"/>
      <protection locked="0"/>
    </xf>
    <xf numFmtId="0" fontId="65" fillId="0" borderId="0" xfId="0" applyFont="1" applyAlignment="1" applyProtection="1">
      <alignment horizontal="left"/>
      <protection locked="0"/>
    </xf>
    <xf numFmtId="0" fontId="61" fillId="5" borderId="0" xfId="0" applyFont="1" applyFill="1" applyProtection="1">
      <protection locked="0"/>
    </xf>
    <xf numFmtId="0" fontId="61" fillId="7" borderId="0" xfId="0" applyFont="1" applyFill="1" applyProtection="1">
      <protection locked="0"/>
    </xf>
    <xf numFmtId="0" fontId="55" fillId="7" borderId="0" xfId="0" applyFont="1" applyFill="1" applyProtection="1">
      <protection locked="0"/>
    </xf>
    <xf numFmtId="0" fontId="0" fillId="9" borderId="0" xfId="0" applyFill="1" applyProtection="1">
      <protection locked="0"/>
    </xf>
    <xf numFmtId="0" fontId="12" fillId="0" borderId="0" xfId="0" applyFont="1"/>
    <xf numFmtId="0" fontId="0" fillId="11" borderId="0" xfId="0" applyFill="1"/>
    <xf numFmtId="0" fontId="12" fillId="11" borderId="0" xfId="0" applyFont="1" applyFill="1"/>
    <xf numFmtId="0" fontId="19" fillId="0" borderId="0" xfId="0" quotePrefix="1" applyFont="1" applyAlignment="1">
      <alignment horizontal="right"/>
    </xf>
    <xf numFmtId="0" fontId="19" fillId="0" borderId="0" xfId="0" applyFont="1" applyAlignment="1">
      <alignment horizontal="right"/>
    </xf>
    <xf numFmtId="0" fontId="40" fillId="0" borderId="0" xfId="0" applyFont="1" applyProtection="1">
      <protection locked="0"/>
    </xf>
    <xf numFmtId="0" fontId="3" fillId="0" borderId="0" xfId="1" applyFont="1" applyProtection="1">
      <protection locked="0"/>
    </xf>
    <xf numFmtId="0" fontId="4" fillId="0" borderId="0" xfId="1" applyFont="1" applyAlignment="1" applyProtection="1">
      <alignment horizontal="left" indent="2"/>
      <protection locked="0"/>
    </xf>
    <xf numFmtId="0" fontId="25" fillId="0" borderId="0" xfId="1" applyFont="1" applyProtection="1">
      <protection locked="0"/>
    </xf>
    <xf numFmtId="0" fontId="6" fillId="0" borderId="0" xfId="1" applyFont="1" applyProtection="1">
      <protection locked="0"/>
    </xf>
    <xf numFmtId="0" fontId="7" fillId="0" borderId="0" xfId="1" applyFont="1" applyAlignment="1" applyProtection="1">
      <alignment horizontal="right"/>
      <protection locked="0"/>
    </xf>
    <xf numFmtId="0" fontId="7" fillId="0" borderId="0" xfId="1" applyFont="1" applyProtection="1">
      <protection locked="0"/>
    </xf>
    <xf numFmtId="0" fontId="8" fillId="0" borderId="0" xfId="1" applyFont="1" applyProtection="1">
      <protection locked="0"/>
    </xf>
    <xf numFmtId="0" fontId="5" fillId="0" borderId="0" xfId="1" applyFont="1" applyProtection="1">
      <protection locked="0"/>
    </xf>
    <xf numFmtId="0" fontId="9" fillId="0" borderId="0" xfId="1" applyFont="1" applyProtection="1">
      <protection locked="0"/>
    </xf>
    <xf numFmtId="0" fontId="3" fillId="0" borderId="12" xfId="1" applyFont="1" applyBorder="1" applyProtection="1">
      <protection locked="0"/>
    </xf>
    <xf numFmtId="0" fontId="4" fillId="0" borderId="3" xfId="1" applyFont="1" applyBorder="1" applyAlignment="1" applyProtection="1">
      <alignment horizontal="left" indent="2"/>
      <protection locked="0"/>
    </xf>
    <xf numFmtId="0" fontId="25" fillId="0" borderId="3" xfId="1" applyFont="1" applyBorder="1" applyProtection="1">
      <protection locked="0"/>
    </xf>
    <xf numFmtId="0" fontId="6" fillId="0" borderId="3" xfId="1" applyFont="1" applyBorder="1" applyProtection="1">
      <protection locked="0"/>
    </xf>
    <xf numFmtId="0" fontId="7" fillId="0" borderId="3" xfId="1" applyFont="1" applyBorder="1" applyAlignment="1" applyProtection="1">
      <alignment horizontal="right"/>
      <protection locked="0"/>
    </xf>
    <xf numFmtId="0" fontId="7" fillId="0" borderId="3" xfId="1" applyFont="1" applyBorder="1" applyProtection="1">
      <protection locked="0"/>
    </xf>
    <xf numFmtId="0" fontId="8" fillId="0" borderId="3" xfId="1" applyFont="1" applyBorder="1" applyProtection="1">
      <protection locked="0"/>
    </xf>
    <xf numFmtId="0" fontId="5" fillId="0" borderId="3" xfId="1" applyFont="1" applyBorder="1" applyProtection="1">
      <protection locked="0"/>
    </xf>
    <xf numFmtId="0" fontId="5" fillId="0" borderId="13" xfId="1" applyFont="1" applyBorder="1" applyProtection="1">
      <protection locked="0"/>
    </xf>
    <xf numFmtId="0" fontId="28" fillId="0" borderId="8" xfId="1" applyFont="1" applyBorder="1" applyProtection="1">
      <protection locked="0"/>
    </xf>
    <xf numFmtId="0" fontId="28" fillId="0" borderId="0" xfId="1" applyFont="1" applyProtection="1">
      <protection locked="0"/>
    </xf>
    <xf numFmtId="0" fontId="41" fillId="0" borderId="0" xfId="1" applyFont="1" applyProtection="1">
      <protection locked="0"/>
    </xf>
    <xf numFmtId="0" fontId="35" fillId="0" borderId="0" xfId="0" applyFont="1" applyProtection="1">
      <protection locked="0"/>
    </xf>
    <xf numFmtId="0" fontId="82" fillId="0" borderId="0" xfId="1" applyFont="1" applyProtection="1">
      <protection locked="0"/>
    </xf>
    <xf numFmtId="0" fontId="41" fillId="0" borderId="14" xfId="1" applyFont="1" applyBorder="1" applyProtection="1">
      <protection locked="0"/>
    </xf>
    <xf numFmtId="0" fontId="3" fillId="0" borderId="8" xfId="1" applyFont="1" applyBorder="1" applyProtection="1">
      <protection locked="0"/>
    </xf>
    <xf numFmtId="0" fontId="10" fillId="0" borderId="0" xfId="1" applyFont="1" applyProtection="1">
      <protection locked="0"/>
    </xf>
    <xf numFmtId="0" fontId="9" fillId="0" borderId="14" xfId="1" applyFont="1" applyBorder="1" applyProtection="1">
      <protection locked="0"/>
    </xf>
    <xf numFmtId="0" fontId="23" fillId="6" borderId="1" xfId="1" applyFont="1" applyFill="1" applyBorder="1" applyProtection="1">
      <protection locked="0"/>
    </xf>
    <xf numFmtId="0" fontId="34" fillId="0" borderId="0" xfId="1" applyFont="1" applyAlignment="1" applyProtection="1">
      <alignment horizontal="right"/>
      <protection locked="0"/>
    </xf>
    <xf numFmtId="0" fontId="0" fillId="0" borderId="8" xfId="0" applyBorder="1" applyProtection="1">
      <protection locked="0"/>
    </xf>
    <xf numFmtId="0" fontId="0" fillId="0" borderId="14" xfId="0" applyBorder="1" applyProtection="1">
      <protection locked="0"/>
    </xf>
    <xf numFmtId="0" fontId="0" fillId="0" borderId="0" xfId="0" applyAlignment="1" applyProtection="1">
      <alignment horizontal="right"/>
      <protection locked="0"/>
    </xf>
    <xf numFmtId="0" fontId="34" fillId="0" borderId="0" xfId="1" applyFont="1" applyAlignment="1" applyProtection="1">
      <alignment horizontal="center"/>
      <protection locked="0"/>
    </xf>
    <xf numFmtId="0" fontId="56" fillId="6" borderId="1" xfId="4" applyFill="1" applyBorder="1" applyProtection="1">
      <protection locked="0"/>
    </xf>
    <xf numFmtId="0" fontId="20" fillId="0" borderId="0" xfId="0" applyFont="1" applyProtection="1">
      <protection locked="0"/>
    </xf>
    <xf numFmtId="0" fontId="3" fillId="0" borderId="15" xfId="1" applyFont="1" applyBorder="1" applyProtection="1">
      <protection locked="0"/>
    </xf>
    <xf numFmtId="0" fontId="4" fillId="0" borderId="1" xfId="1" applyFont="1" applyBorder="1" applyAlignment="1" applyProtection="1">
      <alignment horizontal="left" indent="2"/>
      <protection locked="0"/>
    </xf>
    <xf numFmtId="0" fontId="25" fillId="0" borderId="1" xfId="1" applyFont="1" applyBorder="1" applyProtection="1">
      <protection locked="0"/>
    </xf>
    <xf numFmtId="0" fontId="6" fillId="0" borderId="1" xfId="1" applyFont="1" applyBorder="1" applyProtection="1">
      <protection locked="0"/>
    </xf>
    <xf numFmtId="0" fontId="7" fillId="0" borderId="1" xfId="1" applyFont="1" applyBorder="1" applyAlignment="1" applyProtection="1">
      <alignment horizontal="right"/>
      <protection locked="0"/>
    </xf>
    <xf numFmtId="0" fontId="7" fillId="0" borderId="1" xfId="1" applyFont="1" applyBorder="1" applyProtection="1">
      <protection locked="0"/>
    </xf>
    <xf numFmtId="0" fontId="8" fillId="0" borderId="1" xfId="1" applyFont="1" applyBorder="1" applyProtection="1">
      <protection locked="0"/>
    </xf>
    <xf numFmtId="0" fontId="5" fillId="0" borderId="1" xfId="1" applyFont="1" applyBorder="1" applyProtection="1">
      <protection locked="0"/>
    </xf>
    <xf numFmtId="0" fontId="5" fillId="0" borderId="16" xfId="1" applyFont="1" applyBorder="1" applyProtection="1">
      <protection locked="0"/>
    </xf>
    <xf numFmtId="0" fontId="17" fillId="0" borderId="0" xfId="1" applyFont="1" applyProtection="1">
      <protection locked="0"/>
    </xf>
    <xf numFmtId="0" fontId="9" fillId="0" borderId="13" xfId="1" applyFont="1" applyBorder="1" applyProtection="1">
      <protection locked="0"/>
    </xf>
    <xf numFmtId="0" fontId="23" fillId="0" borderId="8" xfId="1" applyFont="1" applyBorder="1" applyProtection="1">
      <protection locked="0"/>
    </xf>
    <xf numFmtId="0" fontId="40" fillId="0" borderId="0" xfId="0" applyFont="1" applyAlignment="1" applyProtection="1">
      <alignment horizontal="right"/>
      <protection locked="0"/>
    </xf>
    <xf numFmtId="0" fontId="12" fillId="0" borderId="0" xfId="0" applyFont="1" applyProtection="1">
      <protection locked="0"/>
    </xf>
    <xf numFmtId="0" fontId="12" fillId="0" borderId="8" xfId="0" applyFont="1" applyBorder="1" applyProtection="1">
      <protection locked="0"/>
    </xf>
    <xf numFmtId="0" fontId="26" fillId="0" borderId="0" xfId="0" applyFont="1" applyAlignment="1" applyProtection="1">
      <alignment horizontal="right"/>
      <protection locked="0"/>
    </xf>
    <xf numFmtId="0" fontId="79" fillId="0" borderId="0" xfId="0" applyFont="1" applyAlignment="1" applyProtection="1">
      <alignment horizontal="center"/>
      <protection locked="0"/>
    </xf>
    <xf numFmtId="0" fontId="27" fillId="0" borderId="0" xfId="0" applyFont="1" applyAlignment="1" applyProtection="1">
      <alignment horizontal="center"/>
      <protection locked="0"/>
    </xf>
    <xf numFmtId="0" fontId="12" fillId="0" borderId="14" xfId="0" applyFont="1" applyBorder="1" applyProtection="1">
      <protection locked="0"/>
    </xf>
    <xf numFmtId="2" fontId="22" fillId="6" borderId="1" xfId="0" applyNumberFormat="1" applyFont="1" applyFill="1" applyBorder="1" applyProtection="1">
      <protection locked="0"/>
    </xf>
    <xf numFmtId="2" fontId="22" fillId="6" borderId="17" xfId="0" applyNumberFormat="1" applyFont="1" applyFill="1" applyBorder="1" applyProtection="1">
      <protection locked="0"/>
    </xf>
    <xf numFmtId="0" fontId="26" fillId="0" borderId="0" xfId="0" applyFont="1" applyProtection="1">
      <protection locked="0"/>
    </xf>
    <xf numFmtId="164" fontId="23" fillId="6" borderId="18" xfId="3" applyNumberFormat="1" applyFont="1" applyFill="1" applyBorder="1" applyProtection="1">
      <protection locked="0"/>
    </xf>
    <xf numFmtId="164" fontId="23" fillId="6" borderId="1" xfId="3" applyNumberFormat="1" applyFont="1" applyFill="1" applyBorder="1" applyProtection="1">
      <protection locked="0"/>
    </xf>
    <xf numFmtId="0" fontId="34" fillId="0" borderId="0" xfId="1" quotePrefix="1" applyFont="1" applyAlignment="1" applyProtection="1">
      <alignment horizontal="center"/>
      <protection locked="0"/>
    </xf>
    <xf numFmtId="164" fontId="19" fillId="4" borderId="1" xfId="3" applyNumberFormat="1" applyFont="1" applyFill="1" applyBorder="1" applyProtection="1">
      <protection locked="0"/>
    </xf>
    <xf numFmtId="9" fontId="23" fillId="6" borderId="1" xfId="3" applyFont="1" applyFill="1" applyBorder="1" applyProtection="1">
      <protection locked="0"/>
    </xf>
    <xf numFmtId="0" fontId="13" fillId="0" borderId="0" xfId="1" applyFont="1" applyProtection="1">
      <protection locked="0"/>
    </xf>
    <xf numFmtId="0" fontId="28" fillId="0" borderId="0" xfId="0" applyFont="1" applyProtection="1">
      <protection locked="0"/>
    </xf>
    <xf numFmtId="0" fontId="80" fillId="0" borderId="0" xfId="0" applyFont="1" applyProtection="1">
      <protection locked="0"/>
    </xf>
    <xf numFmtId="2" fontId="24" fillId="6" borderId="1" xfId="0" applyNumberFormat="1" applyFont="1" applyFill="1" applyBorder="1" applyProtection="1">
      <protection locked="0"/>
    </xf>
    <xf numFmtId="2" fontId="24" fillId="6" borderId="17" xfId="0" applyNumberFormat="1" applyFont="1" applyFill="1" applyBorder="1" applyProtection="1">
      <protection locked="0"/>
    </xf>
    <xf numFmtId="0" fontId="19" fillId="0" borderId="1" xfId="0" quotePrefix="1" applyFont="1" applyBorder="1" applyProtection="1">
      <protection locked="0"/>
    </xf>
    <xf numFmtId="0" fontId="0" fillId="0" borderId="1" xfId="0" applyBorder="1" applyProtection="1">
      <protection locked="0"/>
    </xf>
    <xf numFmtId="0" fontId="80" fillId="0" borderId="1" xfId="0" applyFont="1" applyBorder="1" applyProtection="1">
      <protection locked="0"/>
    </xf>
    <xf numFmtId="2" fontId="26" fillId="0" borderId="1" xfId="0" applyNumberFormat="1" applyFont="1" applyBorder="1" applyAlignment="1" applyProtection="1">
      <alignment horizontal="right"/>
      <protection locked="0"/>
    </xf>
    <xf numFmtId="2" fontId="31" fillId="4" borderId="1" xfId="0" applyNumberFormat="1" applyFont="1" applyFill="1" applyBorder="1" applyProtection="1">
      <protection locked="0"/>
    </xf>
    <xf numFmtId="0" fontId="26" fillId="0" borderId="0" xfId="0" applyFont="1" applyAlignment="1" applyProtection="1">
      <alignment horizontal="left" indent="2"/>
      <protection locked="0"/>
    </xf>
    <xf numFmtId="0" fontId="19" fillId="0" borderId="1" xfId="0" applyFont="1" applyBorder="1" applyProtection="1">
      <protection locked="0"/>
    </xf>
    <xf numFmtId="0" fontId="12" fillId="0" borderId="1" xfId="0" applyFont="1" applyBorder="1" applyProtection="1">
      <protection locked="0"/>
    </xf>
    <xf numFmtId="0" fontId="26" fillId="0" borderId="1" xfId="0" applyFont="1" applyBorder="1" applyAlignment="1" applyProtection="1">
      <alignment horizontal="right"/>
      <protection locked="0"/>
    </xf>
    <xf numFmtId="0" fontId="19" fillId="0" borderId="0" xfId="0" applyFont="1" applyProtection="1">
      <protection locked="0"/>
    </xf>
    <xf numFmtId="0" fontId="19" fillId="0" borderId="0" xfId="0" quotePrefix="1" applyFont="1" applyProtection="1">
      <protection locked="0"/>
    </xf>
    <xf numFmtId="0" fontId="48" fillId="0" borderId="0" xfId="0" applyFont="1" applyProtection="1">
      <protection locked="0"/>
    </xf>
    <xf numFmtId="0" fontId="40" fillId="0" borderId="14" xfId="0" applyFont="1" applyBorder="1" applyProtection="1">
      <protection locked="0"/>
    </xf>
    <xf numFmtId="0" fontId="28" fillId="0" borderId="0" xfId="0" applyFont="1" applyAlignment="1" applyProtection="1">
      <alignment horizontal="centerContinuous"/>
      <protection locked="0"/>
    </xf>
    <xf numFmtId="0" fontId="12" fillId="0" borderId="0" xfId="0" applyFont="1" applyAlignment="1" applyProtection="1">
      <alignment horizontal="centerContinuous"/>
      <protection locked="0"/>
    </xf>
    <xf numFmtId="0" fontId="0" fillId="0" borderId="0" xfId="0" applyAlignment="1" applyProtection="1">
      <alignment horizontal="centerContinuous"/>
      <protection locked="0"/>
    </xf>
    <xf numFmtId="2" fontId="23" fillId="6" borderId="5" xfId="0" applyNumberFormat="1" applyFont="1" applyFill="1" applyBorder="1" applyProtection="1">
      <protection locked="0"/>
    </xf>
    <xf numFmtId="0" fontId="17" fillId="0" borderId="14" xfId="0" applyFont="1" applyBorder="1" applyProtection="1">
      <protection locked="0"/>
    </xf>
    <xf numFmtId="0" fontId="19" fillId="0" borderId="2" xfId="0" quotePrefix="1" applyFont="1" applyBorder="1" applyProtection="1">
      <protection locked="0"/>
    </xf>
    <xf numFmtId="2" fontId="23" fillId="6" borderId="11" xfId="0" applyNumberFormat="1" applyFont="1" applyFill="1" applyBorder="1" applyProtection="1">
      <protection locked="0"/>
    </xf>
    <xf numFmtId="0" fontId="26" fillId="0" borderId="2" xfId="0" quotePrefix="1" applyFont="1" applyBorder="1" applyAlignment="1" applyProtection="1">
      <alignment horizontal="left" indent="2"/>
      <protection locked="0"/>
    </xf>
    <xf numFmtId="2" fontId="23" fillId="6" borderId="7" xfId="0" applyNumberFormat="1" applyFont="1" applyFill="1" applyBorder="1" applyProtection="1">
      <protection locked="0"/>
    </xf>
    <xf numFmtId="0" fontId="19" fillId="0" borderId="6" xfId="0" applyFont="1" applyBorder="1" applyProtection="1">
      <protection locked="0"/>
    </xf>
    <xf numFmtId="0" fontId="0" fillId="0" borderId="6" xfId="0" applyBorder="1" applyProtection="1">
      <protection locked="0"/>
    </xf>
    <xf numFmtId="2" fontId="23" fillId="6" borderId="6" xfId="0" applyNumberFormat="1" applyFont="1" applyFill="1" applyBorder="1" applyProtection="1">
      <protection locked="0"/>
    </xf>
    <xf numFmtId="167" fontId="0" fillId="0" borderId="0" xfId="0" applyNumberFormat="1" applyProtection="1">
      <protection locked="0"/>
    </xf>
    <xf numFmtId="0" fontId="23" fillId="6" borderId="0" xfId="0" applyFont="1" applyFill="1" applyProtection="1">
      <protection locked="0"/>
    </xf>
    <xf numFmtId="2" fontId="23" fillId="6" borderId="1" xfId="0" applyNumberFormat="1" applyFont="1" applyFill="1" applyBorder="1" applyProtection="1">
      <protection locked="0"/>
    </xf>
    <xf numFmtId="0" fontId="33" fillId="0" borderId="8" xfId="0" applyFont="1" applyBorder="1" applyAlignment="1" applyProtection="1">
      <alignment horizontal="left"/>
      <protection locked="0"/>
    </xf>
    <xf numFmtId="0" fontId="30" fillId="6" borderId="0" xfId="1" applyFont="1" applyFill="1" applyProtection="1">
      <protection locked="0"/>
    </xf>
    <xf numFmtId="0" fontId="78" fillId="0" borderId="0" xfId="0" applyFont="1" applyAlignment="1" applyProtection="1">
      <alignment horizontal="right"/>
      <protection locked="0"/>
    </xf>
    <xf numFmtId="0" fontId="0" fillId="0" borderId="15" xfId="0" applyBorder="1" applyProtection="1">
      <protection locked="0"/>
    </xf>
    <xf numFmtId="0" fontId="34" fillId="0" borderId="1" xfId="1" quotePrefix="1" applyFont="1" applyBorder="1" applyAlignment="1" applyProtection="1">
      <alignment horizontal="center"/>
      <protection locked="0"/>
    </xf>
    <xf numFmtId="0" fontId="12" fillId="0" borderId="16" xfId="0" applyFont="1" applyBorder="1" applyProtection="1">
      <protection locked="0"/>
    </xf>
    <xf numFmtId="0" fontId="0" fillId="0" borderId="12" xfId="0" applyBorder="1" applyProtection="1">
      <protection locked="0"/>
    </xf>
    <xf numFmtId="0" fontId="0" fillId="0" borderId="3" xfId="0" applyBorder="1" applyProtection="1">
      <protection locked="0"/>
    </xf>
    <xf numFmtId="0" fontId="0" fillId="0" borderId="13" xfId="0" applyBorder="1" applyProtection="1">
      <protection locked="0"/>
    </xf>
    <xf numFmtId="0" fontId="14" fillId="0" borderId="8" xfId="0" applyFont="1" applyBorder="1" applyAlignment="1" applyProtection="1">
      <alignment horizontal="centerContinuous" wrapText="1"/>
      <protection locked="0"/>
    </xf>
    <xf numFmtId="0" fontId="5" fillId="0" borderId="0" xfId="1" applyFont="1" applyAlignment="1" applyProtection="1">
      <alignment horizontal="centerContinuous"/>
      <protection locked="0"/>
    </xf>
    <xf numFmtId="0" fontId="6" fillId="0" borderId="0" xfId="1" applyFont="1" applyAlignment="1" applyProtection="1">
      <alignment horizontal="centerContinuous" vertical="center"/>
      <protection locked="0"/>
    </xf>
    <xf numFmtId="0" fontId="7" fillId="0" borderId="0" xfId="1" applyFont="1" applyAlignment="1" applyProtection="1">
      <alignment horizontal="centerContinuous"/>
      <protection locked="0"/>
    </xf>
    <xf numFmtId="0" fontId="8" fillId="0" borderId="0" xfId="1" applyFont="1" applyAlignment="1" applyProtection="1">
      <alignment horizontal="centerContinuous"/>
      <protection locked="0"/>
    </xf>
    <xf numFmtId="0" fontId="76" fillId="0" borderId="14" xfId="1" applyFont="1" applyBorder="1" applyAlignment="1" applyProtection="1">
      <alignment horizontal="centerContinuous"/>
      <protection locked="0"/>
    </xf>
    <xf numFmtId="0" fontId="26" fillId="0" borderId="0" xfId="0" quotePrefix="1" applyFont="1" applyProtection="1">
      <protection locked="0"/>
    </xf>
    <xf numFmtId="0" fontId="26" fillId="0" borderId="0" xfId="0" quotePrefix="1" applyFont="1" applyAlignment="1" applyProtection="1">
      <alignment horizontal="left"/>
      <protection locked="0"/>
    </xf>
    <xf numFmtId="3" fontId="23" fillId="6" borderId="1" xfId="3" applyNumberFormat="1" applyFont="1" applyFill="1" applyBorder="1" applyProtection="1">
      <protection locked="0"/>
    </xf>
    <xf numFmtId="1" fontId="23" fillId="6" borderId="1" xfId="3" applyNumberFormat="1" applyFont="1" applyFill="1" applyBorder="1" applyProtection="1">
      <protection locked="0"/>
    </xf>
    <xf numFmtId="166" fontId="23" fillId="6" borderId="1" xfId="3" applyNumberFormat="1" applyFont="1" applyFill="1" applyBorder="1" applyAlignment="1" applyProtection="1">
      <alignment horizontal="right"/>
      <protection locked="0"/>
    </xf>
    <xf numFmtId="0" fontId="30" fillId="6" borderId="1" xfId="1" applyFont="1" applyFill="1" applyBorder="1" applyAlignment="1" applyProtection="1">
      <alignment horizontal="right"/>
      <protection locked="0"/>
    </xf>
    <xf numFmtId="0" fontId="9" fillId="0" borderId="1" xfId="1" applyFont="1" applyBorder="1" applyProtection="1">
      <protection locked="0"/>
    </xf>
    <xf numFmtId="0" fontId="10" fillId="0" borderId="1" xfId="1" applyFont="1" applyBorder="1" applyProtection="1">
      <protection locked="0"/>
    </xf>
    <xf numFmtId="0" fontId="9" fillId="0" borderId="16" xfId="1" applyFont="1" applyBorder="1" applyProtection="1">
      <protection locked="0"/>
    </xf>
    <xf numFmtId="0" fontId="83" fillId="0" borderId="0" xfId="0" applyFont="1" applyProtection="1">
      <protection locked="0"/>
    </xf>
    <xf numFmtId="9" fontId="0" fillId="0" borderId="0" xfId="0" applyNumberFormat="1" applyProtection="1">
      <protection locked="0"/>
    </xf>
    <xf numFmtId="9" fontId="26" fillId="0" borderId="0" xfId="0" applyNumberFormat="1" applyFont="1" applyAlignment="1" applyProtection="1">
      <alignment horizontal="right"/>
      <protection locked="0"/>
    </xf>
    <xf numFmtId="2" fontId="23" fillId="6" borderId="1" xfId="3" applyNumberFormat="1" applyFont="1" applyFill="1" applyBorder="1" applyProtection="1">
      <protection locked="0"/>
    </xf>
    <xf numFmtId="0" fontId="49" fillId="0" borderId="0" xfId="0" applyFont="1" applyProtection="1">
      <protection locked="0"/>
    </xf>
    <xf numFmtId="0" fontId="73" fillId="0" borderId="0" xfId="0" applyFont="1" applyAlignment="1" applyProtection="1">
      <alignment horizontal="right"/>
      <protection locked="0"/>
    </xf>
    <xf numFmtId="0" fontId="20" fillId="0" borderId="8" xfId="0" applyFont="1" applyBorder="1" applyProtection="1">
      <protection locked="0"/>
    </xf>
    <xf numFmtId="0" fontId="44" fillId="0" borderId="8" xfId="0" applyFont="1" applyBorder="1" applyProtection="1">
      <protection locked="0"/>
    </xf>
    <xf numFmtId="0" fontId="71" fillId="0" borderId="0" xfId="0" applyFont="1" applyAlignment="1" applyProtection="1">
      <alignment horizontal="center"/>
      <protection locked="0"/>
    </xf>
    <xf numFmtId="0" fontId="20" fillId="0" borderId="0" xfId="0" applyFont="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6" xfId="0" applyBorder="1" applyProtection="1">
      <protection locked="0"/>
    </xf>
    <xf numFmtId="0" fontId="17" fillId="0" borderId="0" xfId="0" applyFont="1" applyProtection="1">
      <protection locked="0"/>
    </xf>
    <xf numFmtId="0" fontId="31" fillId="0" borderId="0" xfId="1" applyFont="1" applyAlignment="1" applyProtection="1">
      <alignment horizontal="right"/>
      <protection locked="0"/>
    </xf>
    <xf numFmtId="0" fontId="5" fillId="0" borderId="14" xfId="1" applyFont="1" applyBorder="1" applyAlignment="1" applyProtection="1">
      <alignment horizontal="centerContinuous"/>
      <protection locked="0"/>
    </xf>
    <xf numFmtId="0" fontId="76" fillId="0" borderId="0" xfId="1" applyFont="1" applyAlignment="1" applyProtection="1">
      <alignment horizontal="centerContinuous"/>
      <protection locked="0"/>
    </xf>
    <xf numFmtId="2" fontId="23" fillId="6" borderId="1" xfId="0" applyNumberFormat="1" applyFont="1" applyFill="1" applyBorder="1" applyAlignment="1" applyProtection="1">
      <alignment horizontal="right"/>
      <protection locked="0"/>
    </xf>
    <xf numFmtId="2" fontId="23" fillId="6" borderId="1" xfId="3" applyNumberFormat="1" applyFont="1" applyFill="1" applyBorder="1" applyAlignment="1" applyProtection="1">
      <alignment horizontal="right"/>
      <protection locked="0"/>
    </xf>
    <xf numFmtId="0" fontId="28" fillId="0" borderId="8" xfId="0" applyFont="1" applyBorder="1" applyProtection="1">
      <protection locked="0"/>
    </xf>
    <xf numFmtId="4" fontId="23" fillId="6" borderId="1" xfId="3" applyNumberFormat="1" applyFont="1" applyFill="1" applyBorder="1" applyProtection="1">
      <protection locked="0"/>
    </xf>
    <xf numFmtId="0" fontId="19" fillId="0" borderId="0" xfId="0" applyFont="1" applyAlignment="1" applyProtection="1">
      <alignment horizontal="right"/>
      <protection locked="0"/>
    </xf>
    <xf numFmtId="0" fontId="39" fillId="0" borderId="0" xfId="0" applyFont="1" applyAlignment="1" applyProtection="1">
      <alignment horizontal="right"/>
      <protection locked="0"/>
    </xf>
    <xf numFmtId="0" fontId="20" fillId="0" borderId="6" xfId="0" applyFont="1" applyBorder="1" applyProtection="1">
      <protection locked="0"/>
    </xf>
    <xf numFmtId="0" fontId="23" fillId="0" borderId="0" xfId="1" applyFont="1" applyProtection="1">
      <protection locked="0"/>
    </xf>
    <xf numFmtId="0" fontId="13" fillId="0" borderId="8" xfId="1" applyFont="1" applyBorder="1" applyProtection="1">
      <protection locked="0"/>
    </xf>
    <xf numFmtId="0" fontId="41" fillId="0" borderId="0" xfId="0" applyFont="1" applyProtection="1">
      <protection locked="0"/>
    </xf>
    <xf numFmtId="0" fontId="54" fillId="0" borderId="0" xfId="0" applyFont="1" applyProtection="1">
      <protection locked="0"/>
    </xf>
    <xf numFmtId="0" fontId="70" fillId="0" borderId="0" xfId="0" applyFont="1" applyAlignment="1" applyProtection="1">
      <alignment horizontal="right"/>
      <protection locked="0"/>
    </xf>
    <xf numFmtId="9" fontId="43" fillId="0" borderId="0" xfId="0" applyNumberFormat="1" applyFont="1" applyAlignment="1" applyProtection="1">
      <alignment horizontal="right"/>
      <protection locked="0"/>
    </xf>
    <xf numFmtId="9" fontId="40" fillId="0" borderId="8" xfId="0" applyNumberFormat="1" applyFont="1" applyBorder="1" applyProtection="1">
      <protection locked="0"/>
    </xf>
    <xf numFmtId="9" fontId="40" fillId="0" borderId="0" xfId="0" applyNumberFormat="1" applyFont="1" applyProtection="1">
      <protection locked="0"/>
    </xf>
    <xf numFmtId="9" fontId="53" fillId="0" borderId="0" xfId="0" applyNumberFormat="1" applyFont="1" applyAlignment="1" applyProtection="1">
      <alignment horizontal="right"/>
      <protection locked="0"/>
    </xf>
    <xf numFmtId="0" fontId="40" fillId="0" borderId="1" xfId="0" applyFont="1" applyBorder="1" applyProtection="1">
      <protection locked="0"/>
    </xf>
    <xf numFmtId="0" fontId="31" fillId="0" borderId="8" xfId="0" applyFont="1" applyBorder="1" applyProtection="1">
      <protection locked="0"/>
    </xf>
    <xf numFmtId="0" fontId="43" fillId="0" borderId="0" xfId="0" applyFont="1" applyAlignment="1" applyProtection="1">
      <alignment horizontal="right"/>
      <protection locked="0"/>
    </xf>
    <xf numFmtId="0" fontId="40" fillId="0" borderId="8" xfId="0" applyFont="1" applyBorder="1" applyProtection="1">
      <protection locked="0"/>
    </xf>
    <xf numFmtId="0" fontId="0" fillId="0" borderId="2" xfId="0" applyBorder="1" applyProtection="1">
      <protection locked="0"/>
    </xf>
    <xf numFmtId="0" fontId="57" fillId="0" borderId="0" xfId="0" applyFont="1" applyAlignment="1" applyProtection="1">
      <alignment horizontal="right"/>
      <protection locked="0"/>
    </xf>
    <xf numFmtId="9" fontId="29" fillId="4" borderId="1" xfId="3" applyFont="1" applyFill="1" applyBorder="1" applyAlignment="1" applyProtection="1">
      <alignment horizontal="center"/>
      <protection locked="0"/>
    </xf>
    <xf numFmtId="0" fontId="50" fillId="0" borderId="0" xfId="0" applyFont="1" applyAlignment="1" applyProtection="1">
      <alignment horizontal="right" indent="1"/>
      <protection locked="0"/>
    </xf>
    <xf numFmtId="0" fontId="40" fillId="0" borderId="0" xfId="0" applyFont="1" applyAlignment="1" applyProtection="1">
      <alignment horizontal="left"/>
      <protection locked="0"/>
    </xf>
    <xf numFmtId="9" fontId="12" fillId="0" borderId="0" xfId="3" applyFont="1" applyFill="1" applyBorder="1" applyAlignment="1" applyProtection="1">
      <alignment horizontal="center"/>
      <protection locked="0"/>
    </xf>
    <xf numFmtId="0" fontId="72" fillId="0" borderId="0" xfId="0" applyFont="1" applyAlignment="1" applyProtection="1">
      <alignment horizontal="right"/>
      <protection locked="0"/>
    </xf>
    <xf numFmtId="9" fontId="0" fillId="4" borderId="1" xfId="3" applyFont="1" applyFill="1" applyBorder="1" applyAlignment="1" applyProtection="1">
      <alignment horizontal="center"/>
      <protection locked="0"/>
    </xf>
    <xf numFmtId="0" fontId="50" fillId="0" borderId="0" xfId="0" applyFont="1" applyAlignment="1" applyProtection="1">
      <alignment horizontal="right"/>
      <protection locked="0"/>
    </xf>
    <xf numFmtId="0" fontId="40" fillId="0" borderId="16" xfId="0" applyFont="1" applyBorder="1" applyProtection="1">
      <protection locked="0"/>
    </xf>
    <xf numFmtId="0" fontId="41" fillId="0" borderId="8" xfId="0" applyFont="1" applyBorder="1" applyProtection="1">
      <protection locked="0"/>
    </xf>
    <xf numFmtId="0" fontId="26" fillId="0" borderId="0" xfId="0" quotePrefix="1" applyFont="1" applyAlignment="1" applyProtection="1">
      <alignment horizontal="right"/>
      <protection locked="0"/>
    </xf>
    <xf numFmtId="0" fontId="49" fillId="0" borderId="8" xfId="0" applyFont="1" applyBorder="1" applyProtection="1">
      <protection locked="0"/>
    </xf>
    <xf numFmtId="0" fontId="46" fillId="0" borderId="0" xfId="0" applyFont="1" applyAlignment="1" applyProtection="1">
      <alignment horizontal="center"/>
      <protection locked="0"/>
    </xf>
    <xf numFmtId="0" fontId="19" fillId="0" borderId="0" xfId="0" applyFont="1" applyAlignment="1" applyProtection="1">
      <alignment horizontal="center"/>
      <protection locked="0"/>
    </xf>
    <xf numFmtId="0" fontId="19" fillId="0" borderId="0" xfId="0" applyFont="1" applyAlignment="1" applyProtection="1">
      <alignment horizontal="left" indent="2"/>
      <protection locked="0"/>
    </xf>
    <xf numFmtId="0" fontId="50" fillId="0" borderId="0" xfId="0" applyFont="1" applyProtection="1">
      <protection locked="0"/>
    </xf>
    <xf numFmtId="2" fontId="34" fillId="0" borderId="0" xfId="3" applyNumberFormat="1" applyFont="1" applyFill="1" applyBorder="1" applyAlignment="1" applyProtection="1">
      <alignment horizontal="right"/>
      <protection locked="0"/>
    </xf>
    <xf numFmtId="2" fontId="0" fillId="0" borderId="0" xfId="0" applyNumberFormat="1" applyAlignment="1" applyProtection="1">
      <alignment horizontal="right"/>
      <protection locked="0"/>
    </xf>
    <xf numFmtId="2" fontId="0" fillId="0" borderId="0" xfId="0" applyNumberFormat="1" applyProtection="1">
      <protection locked="0"/>
    </xf>
    <xf numFmtId="0" fontId="40" fillId="0" borderId="14" xfId="0" applyFont="1" applyBorder="1" applyAlignment="1" applyProtection="1">
      <alignment horizontal="right"/>
      <protection locked="0"/>
    </xf>
    <xf numFmtId="0" fontId="0" fillId="0" borderId="4" xfId="0" applyBorder="1" applyProtection="1">
      <protection locked="0"/>
    </xf>
    <xf numFmtId="2" fontId="19" fillId="4" borderId="1" xfId="3" applyNumberFormat="1" applyFont="1" applyFill="1" applyBorder="1" applyProtection="1">
      <protection locked="0"/>
    </xf>
    <xf numFmtId="2" fontId="23" fillId="6" borderId="18" xfId="3" applyNumberFormat="1" applyFont="1" applyFill="1" applyBorder="1" applyProtection="1">
      <protection locked="0"/>
    </xf>
    <xf numFmtId="0" fontId="78" fillId="0" borderId="0" xfId="0" applyFont="1" applyProtection="1">
      <protection locked="0"/>
    </xf>
    <xf numFmtId="0" fontId="91" fillId="0" borderId="0" xfId="0" applyFont="1" applyAlignment="1" applyProtection="1">
      <alignment horizontal="left"/>
      <protection locked="0"/>
    </xf>
    <xf numFmtId="0" fontId="0" fillId="0" borderId="5" xfId="0" applyBorder="1" applyProtection="1">
      <protection locked="0"/>
    </xf>
    <xf numFmtId="0" fontId="12" fillId="0" borderId="5" xfId="0" applyFont="1" applyBorder="1" applyProtection="1">
      <protection locked="0"/>
    </xf>
    <xf numFmtId="0" fontId="40" fillId="0" borderId="5" xfId="0" applyFont="1" applyBorder="1" applyProtection="1">
      <protection locked="0"/>
    </xf>
    <xf numFmtId="0" fontId="50" fillId="0" borderId="5" xfId="0" applyFont="1" applyBorder="1" applyAlignment="1" applyProtection="1">
      <alignment horizontal="right" indent="1"/>
      <protection locked="0"/>
    </xf>
    <xf numFmtId="9" fontId="12" fillId="0" borderId="5" xfId="3" applyFont="1" applyFill="1" applyBorder="1" applyAlignment="1" applyProtection="1">
      <alignment horizontal="center"/>
      <protection locked="0"/>
    </xf>
    <xf numFmtId="0" fontId="32" fillId="0" borderId="0" xfId="0" applyFont="1" applyProtection="1">
      <protection locked="0"/>
    </xf>
    <xf numFmtId="0" fontId="32" fillId="0" borderId="1" xfId="0" applyFont="1" applyBorder="1" applyProtection="1">
      <protection locked="0"/>
    </xf>
    <xf numFmtId="0" fontId="32" fillId="0" borderId="0" xfId="0" applyFont="1" applyAlignment="1" applyProtection="1">
      <alignment horizontal="right"/>
      <protection locked="0"/>
    </xf>
    <xf numFmtId="0" fontId="23" fillId="6" borderId="1" xfId="1" applyFont="1" applyFill="1" applyBorder="1" applyAlignment="1" applyProtection="1">
      <alignment horizontal="left"/>
      <protection locked="0"/>
    </xf>
    <xf numFmtId="0" fontId="23" fillId="6" borderId="1" xfId="0" applyFont="1" applyFill="1" applyBorder="1" applyProtection="1">
      <protection locked="0"/>
    </xf>
    <xf numFmtId="3" fontId="23" fillId="6" borderId="18" xfId="3" applyNumberFormat="1" applyFont="1" applyFill="1" applyBorder="1" applyProtection="1">
      <protection locked="0"/>
    </xf>
    <xf numFmtId="3" fontId="23" fillId="6" borderId="17" xfId="3" applyNumberFormat="1" applyFont="1" applyFill="1" applyBorder="1" applyProtection="1">
      <protection locked="0"/>
    </xf>
    <xf numFmtId="3" fontId="23" fillId="6" borderId="22" xfId="3" applyNumberFormat="1" applyFont="1" applyFill="1" applyBorder="1" applyProtection="1">
      <protection locked="0"/>
    </xf>
    <xf numFmtId="2" fontId="23" fillId="6" borderId="17" xfId="0" applyNumberFormat="1" applyFont="1" applyFill="1" applyBorder="1" applyProtection="1">
      <protection locked="0"/>
    </xf>
    <xf numFmtId="2" fontId="23" fillId="6" borderId="22" xfId="0" applyNumberFormat="1" applyFont="1" applyFill="1" applyBorder="1" applyProtection="1">
      <protection locked="0"/>
    </xf>
    <xf numFmtId="2" fontId="23" fillId="6" borderId="18" xfId="0" applyNumberFormat="1" applyFont="1" applyFill="1" applyBorder="1" applyProtection="1">
      <protection locked="0"/>
    </xf>
    <xf numFmtId="49" fontId="23" fillId="6" borderId="1" xfId="3" applyNumberFormat="1" applyFont="1" applyFill="1" applyBorder="1" applyAlignment="1" applyProtection="1">
      <alignment horizontal="center" wrapText="1"/>
      <protection locked="0"/>
    </xf>
    <xf numFmtId="49" fontId="23" fillId="6" borderId="23" xfId="3" applyNumberFormat="1" applyFont="1" applyFill="1" applyBorder="1" applyAlignment="1" applyProtection="1">
      <alignment horizontal="center"/>
      <protection locked="0"/>
    </xf>
    <xf numFmtId="2" fontId="23" fillId="6" borderId="1" xfId="3" applyNumberFormat="1" applyFont="1" applyFill="1" applyBorder="1" applyAlignment="1" applyProtection="1">
      <alignment horizontal="center"/>
      <protection locked="0"/>
    </xf>
    <xf numFmtId="2" fontId="23" fillId="6" borderId="23" xfId="3" applyNumberFormat="1" applyFont="1" applyFill="1" applyBorder="1" applyAlignment="1" applyProtection="1">
      <alignment horizontal="center"/>
      <protection locked="0"/>
    </xf>
    <xf numFmtId="9" fontId="23" fillId="6" borderId="1" xfId="3" applyFont="1" applyFill="1" applyBorder="1" applyAlignment="1" applyProtection="1">
      <alignment horizontal="center"/>
      <protection locked="0"/>
    </xf>
    <xf numFmtId="9" fontId="23" fillId="6" borderId="23" xfId="3" applyFont="1" applyFill="1" applyBorder="1" applyAlignment="1" applyProtection="1">
      <alignment horizontal="center"/>
      <protection locked="0"/>
    </xf>
    <xf numFmtId="0" fontId="47" fillId="0" borderId="0" xfId="0" applyFont="1" applyProtection="1">
      <protection locked="0"/>
    </xf>
    <xf numFmtId="0" fontId="14" fillId="0" borderId="0" xfId="0" applyFont="1" applyAlignment="1" applyProtection="1">
      <alignment horizontal="centerContinuous" wrapText="1"/>
      <protection locked="0"/>
    </xf>
    <xf numFmtId="9" fontId="17" fillId="6" borderId="1" xfId="3" applyFont="1" applyFill="1" applyBorder="1" applyAlignment="1" applyProtection="1">
      <alignment horizontal="center"/>
      <protection locked="0"/>
    </xf>
    <xf numFmtId="49" fontId="17" fillId="6" borderId="1" xfId="3" applyNumberFormat="1" applyFont="1" applyFill="1" applyBorder="1" applyAlignment="1" applyProtection="1">
      <protection locked="0"/>
    </xf>
    <xf numFmtId="9" fontId="12" fillId="6" borderId="1" xfId="3" applyFont="1" applyFill="1" applyBorder="1" applyAlignment="1" applyProtection="1">
      <alignment horizontal="center"/>
      <protection locked="0"/>
    </xf>
    <xf numFmtId="9" fontId="90" fillId="6" borderId="1" xfId="3" applyFont="1" applyFill="1" applyBorder="1" applyAlignment="1" applyProtection="1">
      <alignment horizontal="center"/>
      <protection locked="0"/>
    </xf>
    <xf numFmtId="0" fontId="26" fillId="0" borderId="0" xfId="0" applyFont="1" applyAlignment="1" applyProtection="1">
      <alignment horizontal="left"/>
      <protection locked="0"/>
    </xf>
    <xf numFmtId="0" fontId="30" fillId="6" borderId="1" xfId="1" applyFont="1" applyFill="1" applyBorder="1" applyProtection="1">
      <protection locked="0"/>
    </xf>
    <xf numFmtId="0" fontId="88" fillId="4" borderId="1" xfId="0" applyFont="1" applyFill="1" applyBorder="1" applyAlignment="1" applyProtection="1">
      <alignment horizontal="left"/>
      <protection locked="0"/>
    </xf>
    <xf numFmtId="0" fontId="12" fillId="4" borderId="0" xfId="0" applyFont="1" applyFill="1" applyProtection="1">
      <protection locked="0"/>
    </xf>
    <xf numFmtId="0" fontId="12" fillId="4" borderId="14" xfId="0" applyFont="1" applyFill="1" applyBorder="1" applyProtection="1">
      <protection locked="0"/>
    </xf>
    <xf numFmtId="0" fontId="12" fillId="4" borderId="15" xfId="0" applyFont="1" applyFill="1" applyBorder="1" applyProtection="1">
      <protection locked="0"/>
    </xf>
    <xf numFmtId="0" fontId="12" fillId="4" borderId="1" xfId="0" applyFont="1" applyFill="1" applyBorder="1" applyProtection="1">
      <protection locked="0"/>
    </xf>
    <xf numFmtId="0" fontId="12" fillId="4" borderId="16" xfId="0" applyFont="1" applyFill="1" applyBorder="1" applyProtection="1">
      <protection locked="0"/>
    </xf>
    <xf numFmtId="0" fontId="89" fillId="4" borderId="20" xfId="0" applyFont="1" applyFill="1" applyBorder="1" applyAlignment="1" applyProtection="1">
      <alignment horizontal="left" indent="1"/>
      <protection locked="0"/>
    </xf>
    <xf numFmtId="0" fontId="93" fillId="4" borderId="1" xfId="0" applyFont="1" applyFill="1" applyBorder="1" applyAlignment="1" applyProtection="1">
      <alignment horizontal="right"/>
      <protection locked="0"/>
    </xf>
    <xf numFmtId="168" fontId="23" fillId="6" borderId="1" xfId="3" applyNumberFormat="1" applyFont="1" applyFill="1" applyBorder="1" applyProtection="1">
      <protection locked="0"/>
    </xf>
    <xf numFmtId="2" fontId="24" fillId="6" borderId="11" xfId="0" applyNumberFormat="1" applyFont="1" applyFill="1" applyBorder="1" applyProtection="1">
      <protection locked="0"/>
    </xf>
    <xf numFmtId="2" fontId="24" fillId="6" borderId="2" xfId="0" quotePrefix="1" applyNumberFormat="1" applyFont="1" applyFill="1" applyBorder="1" applyProtection="1">
      <protection locked="0"/>
    </xf>
    <xf numFmtId="2" fontId="31" fillId="4" borderId="17" xfId="0" applyNumberFormat="1" applyFont="1" applyFill="1" applyBorder="1" applyProtection="1">
      <protection locked="0"/>
    </xf>
    <xf numFmtId="9" fontId="40" fillId="4" borderId="1" xfId="3" applyFont="1" applyFill="1" applyBorder="1" applyAlignment="1" applyProtection="1">
      <alignment horizontal="center"/>
    </xf>
    <xf numFmtId="0" fontId="40" fillId="0" borderId="6" xfId="0" applyFont="1" applyBorder="1" applyProtection="1">
      <protection locked="0"/>
    </xf>
    <xf numFmtId="0" fontId="53" fillId="0" borderId="0" xfId="0" applyFont="1" applyAlignment="1" applyProtection="1">
      <alignment horizontal="right"/>
      <protection locked="0"/>
    </xf>
    <xf numFmtId="3" fontId="31" fillId="4" borderId="6" xfId="3" applyNumberFormat="1" applyFont="1" applyFill="1" applyBorder="1" applyAlignment="1" applyProtection="1">
      <alignment horizontal="center"/>
      <protection locked="0"/>
    </xf>
    <xf numFmtId="0" fontId="26" fillId="0" borderId="6" xfId="0" applyFont="1" applyBorder="1" applyAlignment="1" applyProtection="1">
      <alignment horizontal="right"/>
      <protection locked="0"/>
    </xf>
    <xf numFmtId="0" fontId="23" fillId="0" borderId="0" xfId="0" applyFont="1" applyProtection="1">
      <protection locked="0"/>
    </xf>
    <xf numFmtId="3" fontId="23" fillId="6" borderId="1" xfId="3" applyNumberFormat="1" applyFont="1" applyFill="1" applyBorder="1" applyAlignment="1" applyProtection="1">
      <alignment horizontal="center"/>
      <protection locked="0"/>
    </xf>
    <xf numFmtId="169" fontId="23" fillId="6" borderId="18" xfId="3" applyNumberFormat="1" applyFont="1" applyFill="1" applyBorder="1" applyProtection="1">
      <protection locked="0"/>
    </xf>
    <xf numFmtId="0" fontId="40" fillId="0" borderId="0" xfId="0" applyFont="1"/>
    <xf numFmtId="0" fontId="76" fillId="0" borderId="0" xfId="1" applyFont="1"/>
    <xf numFmtId="0" fontId="76" fillId="0" borderId="0" xfId="1" applyFont="1" applyAlignment="1">
      <alignment horizontal="right"/>
    </xf>
    <xf numFmtId="0" fontId="35" fillId="0" borderId="0" xfId="0" applyFont="1" applyAlignment="1">
      <alignment horizontal="right"/>
    </xf>
    <xf numFmtId="0" fontId="40" fillId="0" borderId="0" xfId="0" applyFont="1" applyAlignment="1">
      <alignment horizontal="right"/>
    </xf>
    <xf numFmtId="0" fontId="78" fillId="0" borderId="0" xfId="0" applyFont="1" applyAlignment="1">
      <alignment horizontal="right"/>
    </xf>
    <xf numFmtId="0" fontId="77" fillId="0" borderId="0" xfId="0" applyFont="1" applyAlignment="1">
      <alignment horizontal="right"/>
    </xf>
    <xf numFmtId="0" fontId="87" fillId="4" borderId="19" xfId="0" applyFont="1" applyFill="1" applyBorder="1" applyAlignment="1">
      <alignment horizontal="center"/>
    </xf>
    <xf numFmtId="0" fontId="89" fillId="4" borderId="20" xfId="0" applyFont="1" applyFill="1" applyBorder="1" applyAlignment="1">
      <alignment horizontal="left"/>
    </xf>
    <xf numFmtId="0" fontId="88" fillId="4" borderId="21" xfId="0" applyFont="1" applyFill="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49" fillId="0" borderId="0" xfId="0" applyFont="1" applyAlignment="1">
      <alignment horizontal="right"/>
    </xf>
    <xf numFmtId="0" fontId="17" fillId="0" borderId="0" xfId="0" applyFont="1"/>
    <xf numFmtId="0" fontId="92" fillId="0" borderId="0" xfId="1" applyFont="1" applyAlignment="1">
      <alignment horizontal="centerContinuous"/>
    </xf>
    <xf numFmtId="164" fontId="23" fillId="6" borderId="18" xfId="3" applyNumberFormat="1" applyFont="1" applyFill="1" applyBorder="1" applyAlignment="1" applyProtection="1">
      <protection locked="0"/>
    </xf>
    <xf numFmtId="2" fontId="23" fillId="6" borderId="18" xfId="3" applyNumberFormat="1" applyFont="1" applyFill="1" applyBorder="1" applyAlignment="1" applyProtection="1">
      <protection locked="0"/>
    </xf>
    <xf numFmtId="2" fontId="23" fillId="6" borderId="1" xfId="3" applyNumberFormat="1" applyFont="1" applyFill="1" applyBorder="1" applyAlignment="1" applyProtection="1">
      <protection locked="0"/>
    </xf>
    <xf numFmtId="164" fontId="23" fillId="6" borderId="1" xfId="3" applyNumberFormat="1" applyFont="1" applyFill="1" applyBorder="1" applyAlignment="1" applyProtection="1">
      <protection locked="0"/>
    </xf>
    <xf numFmtId="0" fontId="89" fillId="4" borderId="20" xfId="0" applyFont="1" applyFill="1" applyBorder="1" applyAlignment="1">
      <alignment horizontal="center"/>
    </xf>
    <xf numFmtId="0" fontId="12" fillId="0" borderId="0" xfId="1" applyFont="1" applyProtection="1">
      <protection locked="0"/>
    </xf>
    <xf numFmtId="0" fontId="66" fillId="0" borderId="0" xfId="1" applyFont="1" applyProtection="1">
      <protection locked="0"/>
    </xf>
    <xf numFmtId="0" fontId="63" fillId="0" borderId="0" xfId="1" applyFont="1" applyProtection="1">
      <protection locked="0"/>
    </xf>
    <xf numFmtId="0" fontId="55" fillId="0" borderId="0" xfId="0" applyFont="1" applyProtection="1">
      <protection locked="0"/>
    </xf>
    <xf numFmtId="0" fontId="63" fillId="0" borderId="0" xfId="0" applyFont="1" applyProtection="1">
      <protection locked="0"/>
    </xf>
    <xf numFmtId="0" fontId="52" fillId="0" borderId="0" xfId="0" applyFont="1" applyAlignment="1" applyProtection="1">
      <alignment horizontal="right" vertical="top"/>
      <protection locked="0"/>
    </xf>
    <xf numFmtId="0" fontId="0" fillId="0" borderId="0" xfId="0" applyAlignment="1" applyProtection="1">
      <alignment horizontal="left" vertical="top" wrapText="1"/>
      <protection locked="0"/>
    </xf>
    <xf numFmtId="0" fontId="0" fillId="5" borderId="0" xfId="0" applyFill="1" applyProtection="1">
      <protection locked="0"/>
    </xf>
    <xf numFmtId="0" fontId="52" fillId="5" borderId="0" xfId="0" applyFont="1" applyFill="1" applyAlignment="1" applyProtection="1">
      <alignment horizontal="right" vertical="top"/>
      <protection locked="0"/>
    </xf>
    <xf numFmtId="0" fontId="12" fillId="5" borderId="0" xfId="0" applyFont="1" applyFill="1" applyProtection="1">
      <protection locked="0"/>
    </xf>
    <xf numFmtId="0" fontId="0" fillId="5" borderId="0" xfId="0" applyFill="1" applyAlignment="1" applyProtection="1">
      <alignment horizontal="left" vertical="top" wrapText="1"/>
      <protection locked="0"/>
    </xf>
    <xf numFmtId="0" fontId="58" fillId="0" borderId="0" xfId="0" applyFont="1" applyProtection="1">
      <protection locked="0"/>
    </xf>
    <xf numFmtId="2" fontId="26" fillId="0" borderId="0" xfId="0" applyNumberFormat="1" applyFont="1" applyAlignment="1" applyProtection="1">
      <alignment horizontal="right"/>
      <protection locked="0"/>
    </xf>
    <xf numFmtId="0" fontId="14" fillId="0" borderId="8" xfId="0" applyFont="1" applyBorder="1" applyAlignment="1" applyProtection="1">
      <alignment horizontal="center" wrapText="1"/>
      <protection locked="0"/>
    </xf>
    <xf numFmtId="0" fontId="5" fillId="0" borderId="0" xfId="1" applyFont="1" applyAlignment="1" applyProtection="1">
      <alignment horizont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protection locked="0"/>
    </xf>
    <xf numFmtId="0" fontId="8" fillId="0" borderId="0" xfId="1" applyFont="1" applyAlignment="1" applyProtection="1">
      <alignment horizontal="center"/>
      <protection locked="0"/>
    </xf>
    <xf numFmtId="0" fontId="76" fillId="0" borderId="14" xfId="1" applyFont="1" applyBorder="1" applyAlignment="1" applyProtection="1">
      <alignment horizontal="center"/>
      <protection locked="0"/>
    </xf>
    <xf numFmtId="2" fontId="20" fillId="0" borderId="0" xfId="0" applyNumberFormat="1" applyFont="1"/>
    <xf numFmtId="0" fontId="20" fillId="0" borderId="0" xfId="0" applyFont="1" applyAlignment="1" applyProtection="1">
      <alignment horizontal="right" indent="1"/>
      <protection locked="0"/>
    </xf>
    <xf numFmtId="0" fontId="20" fillId="0" borderId="0" xfId="0" quotePrefix="1" applyFont="1" applyProtection="1">
      <protection locked="0"/>
    </xf>
    <xf numFmtId="9" fontId="23" fillId="0" borderId="0" xfId="3" applyFont="1" applyFill="1" applyBorder="1" applyProtection="1">
      <protection locked="0"/>
    </xf>
    <xf numFmtId="0" fontId="23" fillId="0" borderId="0" xfId="1" applyFont="1" applyAlignment="1" applyProtection="1">
      <alignment horizontal="left"/>
      <protection locked="0"/>
    </xf>
    <xf numFmtId="9" fontId="23" fillId="6" borderId="24" xfId="3" applyFont="1" applyFill="1" applyBorder="1" applyProtection="1">
      <protection locked="0"/>
    </xf>
    <xf numFmtId="0" fontId="0" fillId="0" borderId="3" xfId="0" applyBorder="1"/>
    <xf numFmtId="0" fontId="0" fillId="0" borderId="15" xfId="0" applyBorder="1"/>
    <xf numFmtId="0" fontId="0" fillId="0" borderId="1" xfId="0" applyBorder="1"/>
    <xf numFmtId="0" fontId="0" fillId="0" borderId="16" xfId="0" applyBorder="1"/>
    <xf numFmtId="0" fontId="0" fillId="0" borderId="14" xfId="0" applyBorder="1"/>
    <xf numFmtId="2" fontId="20" fillId="4" borderId="6" xfId="3" applyNumberFormat="1" applyFont="1" applyFill="1" applyBorder="1" applyProtection="1">
      <protection locked="0"/>
    </xf>
    <xf numFmtId="168" fontId="23" fillId="6" borderId="18" xfId="0" applyNumberFormat="1" applyFont="1" applyFill="1" applyBorder="1" applyProtection="1">
      <protection locked="0"/>
    </xf>
    <xf numFmtId="168" fontId="23" fillId="6" borderId="17" xfId="0" applyNumberFormat="1" applyFont="1" applyFill="1" applyBorder="1" applyProtection="1">
      <protection locked="0"/>
    </xf>
    <xf numFmtId="168" fontId="23" fillId="6" borderId="22" xfId="0" applyNumberFormat="1" applyFont="1" applyFill="1" applyBorder="1" applyProtection="1">
      <protection locked="0"/>
    </xf>
    <xf numFmtId="169" fontId="23" fillId="6" borderId="22" xfId="3" applyNumberFormat="1" applyFont="1" applyFill="1" applyBorder="1" applyProtection="1">
      <protection locked="0"/>
    </xf>
    <xf numFmtId="170" fontId="40" fillId="0" borderId="0" xfId="0" applyNumberFormat="1" applyFont="1" applyAlignment="1">
      <alignment horizontal="right"/>
    </xf>
    <xf numFmtId="171" fontId="40" fillId="0" borderId="0" xfId="0" applyNumberFormat="1" applyFont="1" applyAlignment="1">
      <alignment horizontal="right"/>
    </xf>
    <xf numFmtId="0" fontId="36" fillId="0" borderId="0" xfId="0" applyFont="1" applyAlignment="1">
      <alignment horizontal="centerContinuous"/>
    </xf>
    <xf numFmtId="0" fontId="0" fillId="0" borderId="2" xfId="0" applyBorder="1"/>
    <xf numFmtId="0" fontId="95" fillId="0" borderId="0" xfId="0" applyFont="1" applyProtection="1">
      <protection locked="0"/>
    </xf>
    <xf numFmtId="0" fontId="43" fillId="0" borderId="0" xfId="0" applyFont="1" applyAlignment="1">
      <alignment horizontal="right"/>
    </xf>
    <xf numFmtId="0" fontId="96" fillId="0" borderId="0" xfId="0" applyFont="1"/>
    <xf numFmtId="0" fontId="43" fillId="0" borderId="0" xfId="0" applyFont="1"/>
    <xf numFmtId="0" fontId="23" fillId="6" borderId="1" xfId="0" applyFont="1" applyFill="1" applyBorder="1" applyAlignment="1" applyProtection="1">
      <alignment horizontal="left"/>
      <protection locked="0"/>
    </xf>
    <xf numFmtId="0" fontId="27" fillId="0" borderId="0" xfId="0" applyFont="1" applyProtection="1">
      <protection locked="0"/>
    </xf>
    <xf numFmtId="0" fontId="20" fillId="0" borderId="0" xfId="0" applyFont="1" applyAlignment="1" applyProtection="1">
      <alignment horizontal="left"/>
      <protection locked="0"/>
    </xf>
    <xf numFmtId="0" fontId="23" fillId="6" borderId="1" xfId="3" applyNumberFormat="1" applyFont="1" applyFill="1" applyBorder="1" applyProtection="1">
      <protection locked="0"/>
    </xf>
    <xf numFmtId="0" fontId="21" fillId="0" borderId="0" xfId="0" applyFont="1" applyProtection="1">
      <protection locked="0"/>
    </xf>
    <xf numFmtId="0" fontId="34" fillId="0" borderId="0" xfId="0" applyFont="1" applyAlignment="1" applyProtection="1">
      <alignment horizontal="right"/>
      <protection locked="0"/>
    </xf>
    <xf numFmtId="0" fontId="21" fillId="0" borderId="0" xfId="0" applyFont="1" applyAlignment="1" applyProtection="1">
      <alignment horizontal="left"/>
      <protection locked="0"/>
    </xf>
    <xf numFmtId="164" fontId="23" fillId="6" borderId="1" xfId="0" applyNumberFormat="1" applyFont="1" applyFill="1" applyBorder="1" applyProtection="1">
      <protection locked="0"/>
    </xf>
    <xf numFmtId="0" fontId="34" fillId="0" borderId="0" xfId="0" applyFont="1" applyAlignment="1" applyProtection="1">
      <alignment horizontal="left"/>
      <protection locked="0"/>
    </xf>
    <xf numFmtId="0" fontId="96" fillId="0" borderId="0" xfId="0" applyFont="1" applyProtection="1">
      <protection locked="0"/>
    </xf>
    <xf numFmtId="0" fontId="31" fillId="0" borderId="0" xfId="0" applyFont="1" applyAlignment="1" applyProtection="1">
      <alignment horizontal="right"/>
      <protection locked="0"/>
    </xf>
    <xf numFmtId="0" fontId="97" fillId="0" borderId="0" xfId="0" applyFont="1" applyProtection="1">
      <protection locked="0"/>
    </xf>
    <xf numFmtId="0" fontId="71" fillId="0" borderId="0" xfId="0" applyFont="1" applyProtection="1">
      <protection locked="0"/>
    </xf>
    <xf numFmtId="0" fontId="31" fillId="0" borderId="0" xfId="0" applyFont="1" applyProtection="1">
      <protection locked="0"/>
    </xf>
    <xf numFmtId="0" fontId="70" fillId="0" borderId="0" xfId="0" applyFont="1" applyAlignment="1" applyProtection="1">
      <alignment horizontal="center"/>
      <protection locked="0"/>
    </xf>
    <xf numFmtId="0" fontId="72" fillId="0" borderId="0" xfId="0" applyFont="1" applyAlignment="1" applyProtection="1">
      <alignment horizontal="center"/>
      <protection locked="0"/>
    </xf>
    <xf numFmtId="0" fontId="27" fillId="0" borderId="0" xfId="0" applyFont="1" applyAlignment="1" applyProtection="1">
      <alignment horizontal="centerContinuous"/>
      <protection locked="0"/>
    </xf>
    <xf numFmtId="0" fontId="70" fillId="0" borderId="0" xfId="0" applyFont="1" applyAlignment="1" applyProtection="1">
      <alignment horizontal="centerContinuous"/>
      <protection locked="0"/>
    </xf>
    <xf numFmtId="0" fontId="0" fillId="0" borderId="0" xfId="0" applyAlignment="1" applyProtection="1">
      <alignment vertical="center"/>
      <protection locked="0"/>
    </xf>
    <xf numFmtId="166" fontId="23" fillId="6" borderId="1" xfId="3" applyNumberFormat="1" applyFont="1" applyFill="1" applyBorder="1" applyProtection="1">
      <protection locked="0"/>
    </xf>
    <xf numFmtId="0" fontId="23" fillId="6" borderId="1" xfId="1" applyFont="1" applyFill="1" applyBorder="1" applyAlignment="1" applyProtection="1">
      <alignment wrapText="1"/>
      <protection locked="0"/>
    </xf>
    <xf numFmtId="0" fontId="23" fillId="6" borderId="1" xfId="3" applyNumberFormat="1" applyFont="1" applyFill="1" applyBorder="1" applyAlignment="1" applyProtection="1">
      <alignment horizontal="center"/>
      <protection locked="0"/>
    </xf>
    <xf numFmtId="10" fontId="23" fillId="6" borderId="18" xfId="0" applyNumberFormat="1" applyFont="1" applyFill="1" applyBorder="1" applyProtection="1">
      <protection locked="0"/>
    </xf>
    <xf numFmtId="10" fontId="23" fillId="6" borderId="17" xfId="0" applyNumberFormat="1" applyFont="1" applyFill="1" applyBorder="1" applyProtection="1">
      <protection locked="0"/>
    </xf>
    <xf numFmtId="10" fontId="23" fillId="6" borderId="22" xfId="0" applyNumberFormat="1" applyFont="1" applyFill="1" applyBorder="1" applyProtection="1">
      <protection locked="0"/>
    </xf>
    <xf numFmtId="49" fontId="23" fillId="6" borderId="18" xfId="0" applyNumberFormat="1" applyFont="1" applyFill="1" applyBorder="1" applyProtection="1">
      <protection locked="0"/>
    </xf>
    <xf numFmtId="49" fontId="23" fillId="6" borderId="17" xfId="0" applyNumberFormat="1" applyFont="1" applyFill="1" applyBorder="1" applyProtection="1">
      <protection locked="0"/>
    </xf>
    <xf numFmtId="49" fontId="23" fillId="6" borderId="22" xfId="0" applyNumberFormat="1" applyFont="1" applyFill="1" applyBorder="1" applyProtection="1">
      <protection locked="0"/>
    </xf>
    <xf numFmtId="0" fontId="19" fillId="0" borderId="0" xfId="0" applyFont="1" applyAlignment="1" applyProtection="1">
      <alignment horizontal="left" indent="1"/>
      <protection locked="0"/>
    </xf>
    <xf numFmtId="165" fontId="0" fillId="0" borderId="0" xfId="0" applyNumberFormat="1"/>
    <xf numFmtId="0" fontId="23" fillId="0" borderId="0" xfId="1" applyFont="1" applyProtection="1">
      <protection hidden="1"/>
    </xf>
    <xf numFmtId="0" fontId="26" fillId="0" borderId="0" xfId="0" applyFont="1" applyAlignment="1" applyProtection="1">
      <alignment horizontal="left" indent="1"/>
      <protection locked="0"/>
    </xf>
    <xf numFmtId="0" fontId="26" fillId="0" borderId="0" xfId="0" applyFont="1" applyAlignment="1" applyProtection="1">
      <alignment horizontal="center"/>
      <protection locked="0"/>
    </xf>
    <xf numFmtId="2" fontId="24" fillId="6" borderId="7" xfId="0" applyNumberFormat="1" applyFont="1" applyFill="1" applyBorder="1" applyProtection="1">
      <protection locked="0"/>
    </xf>
    <xf numFmtId="0" fontId="3" fillId="0" borderId="0" xfId="1" applyFont="1"/>
    <xf numFmtId="0" fontId="4" fillId="0" borderId="0" xfId="1" applyFont="1" applyAlignment="1">
      <alignment horizontal="left" indent="2"/>
    </xf>
    <xf numFmtId="0" fontId="25" fillId="0" borderId="0" xfId="1" applyFont="1"/>
    <xf numFmtId="0" fontId="6" fillId="0" borderId="0" xfId="1" applyFont="1"/>
    <xf numFmtId="0" fontId="7" fillId="0" borderId="0" xfId="1" applyFont="1" applyAlignment="1">
      <alignment horizontal="right"/>
    </xf>
    <xf numFmtId="0" fontId="7" fillId="0" borderId="0" xfId="1" applyFont="1"/>
    <xf numFmtId="0" fontId="8" fillId="0" borderId="0" xfId="1" applyFont="1"/>
    <xf numFmtId="0" fontId="5" fillId="0" borderId="0" xfId="1" applyFont="1"/>
    <xf numFmtId="0" fontId="3" fillId="0" borderId="12" xfId="1" applyFont="1" applyBorder="1"/>
    <xf numFmtId="0" fontId="4" fillId="0" borderId="3" xfId="1" applyFont="1" applyBorder="1" applyAlignment="1">
      <alignment horizontal="left" indent="2"/>
    </xf>
    <xf numFmtId="0" fontId="25" fillId="0" borderId="3" xfId="1" applyFont="1" applyBorder="1"/>
    <xf numFmtId="0" fontId="6" fillId="0" borderId="3" xfId="1" applyFont="1" applyBorder="1"/>
    <xf numFmtId="0" fontId="7" fillId="0" borderId="3" xfId="1" applyFont="1" applyBorder="1" applyAlignment="1">
      <alignment horizontal="right"/>
    </xf>
    <xf numFmtId="0" fontId="7" fillId="0" borderId="3" xfId="1" applyFont="1" applyBorder="1"/>
    <xf numFmtId="0" fontId="8" fillId="0" borderId="3" xfId="1" applyFont="1" applyBorder="1"/>
    <xf numFmtId="0" fontId="5" fillId="0" borderId="3" xfId="1" applyFont="1" applyBorder="1"/>
    <xf numFmtId="0" fontId="5" fillId="0" borderId="13" xfId="1" applyFont="1" applyBorder="1"/>
    <xf numFmtId="0" fontId="35" fillId="0" borderId="0" xfId="0" applyFont="1"/>
    <xf numFmtId="0" fontId="28" fillId="0" borderId="8" xfId="1" applyFont="1" applyBorder="1"/>
    <xf numFmtId="0" fontId="28" fillId="0" borderId="0" xfId="1" applyFont="1"/>
    <xf numFmtId="0" fontId="41" fillId="0" borderId="0" xfId="1" applyFont="1"/>
    <xf numFmtId="0" fontId="82" fillId="0" borderId="0" xfId="1" applyFont="1"/>
    <xf numFmtId="0" fontId="41" fillId="0" borderId="14" xfId="1" applyFont="1" applyBorder="1"/>
    <xf numFmtId="0" fontId="3" fillId="0" borderId="8" xfId="1" applyFont="1" applyBorder="1"/>
    <xf numFmtId="0" fontId="9" fillId="0" borderId="0" xfId="1" applyFont="1"/>
    <xf numFmtId="0" fontId="10" fillId="0" borderId="0" xfId="1" applyFont="1"/>
    <xf numFmtId="0" fontId="9" fillId="0" borderId="14" xfId="1" applyFont="1" applyBorder="1"/>
    <xf numFmtId="164" fontId="21" fillId="0" borderId="0" xfId="2" applyNumberFormat="1" applyFont="1" applyBorder="1" applyAlignment="1" applyProtection="1">
      <alignment horizontal="right"/>
    </xf>
    <xf numFmtId="0" fontId="21" fillId="0" borderId="0" xfId="1" applyFont="1" applyAlignment="1">
      <alignment horizontal="right"/>
    </xf>
    <xf numFmtId="0" fontId="34" fillId="0" borderId="0" xfId="1" applyFont="1" applyAlignment="1">
      <alignment horizontal="right"/>
    </xf>
    <xf numFmtId="0" fontId="7" fillId="0" borderId="8" xfId="1" applyFont="1" applyBorder="1"/>
    <xf numFmtId="0" fontId="34" fillId="0" borderId="0" xfId="1" applyFont="1" applyAlignment="1">
      <alignment horizontal="center"/>
    </xf>
    <xf numFmtId="0" fontId="34" fillId="0" borderId="0" xfId="1" applyFont="1" applyAlignment="1">
      <alignment horizontal="left"/>
    </xf>
    <xf numFmtId="0" fontId="3" fillId="0" borderId="15" xfId="1" applyFont="1" applyBorder="1"/>
    <xf numFmtId="0" fontId="4" fillId="0" borderId="1" xfId="1" applyFont="1" applyBorder="1" applyAlignment="1">
      <alignment horizontal="left" indent="2"/>
    </xf>
    <xf numFmtId="0" fontId="25" fillId="0" borderId="1" xfId="1" applyFont="1" applyBorder="1"/>
    <xf numFmtId="0" fontId="6" fillId="0" borderId="1" xfId="1" applyFont="1" applyBorder="1"/>
    <xf numFmtId="0" fontId="7" fillId="0" borderId="1" xfId="1" applyFont="1" applyBorder="1" applyAlignment="1">
      <alignment horizontal="right"/>
    </xf>
    <xf numFmtId="0" fontId="7" fillId="0" borderId="1" xfId="1" applyFont="1" applyBorder="1"/>
    <xf numFmtId="0" fontId="8" fillId="0" borderId="1" xfId="1" applyFont="1" applyBorder="1"/>
    <xf numFmtId="0" fontId="5" fillId="0" borderId="1" xfId="1" applyFont="1" applyBorder="1"/>
    <xf numFmtId="0" fontId="5" fillId="0" borderId="16" xfId="1" applyFont="1" applyBorder="1"/>
    <xf numFmtId="164" fontId="31" fillId="4" borderId="18" xfId="3" applyNumberFormat="1" applyFont="1" applyFill="1" applyBorder="1" applyProtection="1">
      <protection locked="0"/>
    </xf>
    <xf numFmtId="164" fontId="31" fillId="4" borderId="1" xfId="3" applyNumberFormat="1" applyFont="1" applyFill="1" applyBorder="1" applyProtection="1">
      <protection locked="0"/>
    </xf>
    <xf numFmtId="2" fontId="21" fillId="4" borderId="1" xfId="0" applyNumberFormat="1" applyFont="1" applyFill="1" applyBorder="1" applyProtection="1">
      <protection locked="0"/>
    </xf>
    <xf numFmtId="2" fontId="21" fillId="4" borderId="17" xfId="0" applyNumberFormat="1" applyFont="1" applyFill="1" applyBorder="1" applyProtection="1">
      <protection locked="0"/>
    </xf>
    <xf numFmtId="2" fontId="19" fillId="4" borderId="1" xfId="0" applyNumberFormat="1" applyFont="1" applyFill="1" applyBorder="1" applyProtection="1">
      <protection locked="0"/>
    </xf>
    <xf numFmtId="0" fontId="26" fillId="0" borderId="0" xfId="0" applyFont="1" applyAlignment="1">
      <alignment horizontal="right"/>
    </xf>
    <xf numFmtId="9" fontId="40" fillId="4" borderId="1" xfId="3" applyFont="1" applyFill="1" applyBorder="1" applyAlignment="1" applyProtection="1">
      <alignment horizontal="center"/>
      <protection locked="0"/>
    </xf>
    <xf numFmtId="9" fontId="78" fillId="4" borderId="1" xfId="3" applyFont="1" applyFill="1" applyBorder="1" applyAlignment="1" applyProtection="1">
      <alignment horizontal="center"/>
      <protection locked="0"/>
    </xf>
    <xf numFmtId="0" fontId="19" fillId="0" borderId="0" xfId="0" applyFont="1" applyAlignment="1">
      <alignment horizontal="left" indent="1"/>
    </xf>
    <xf numFmtId="9" fontId="19" fillId="4" borderId="1" xfId="3" applyFont="1" applyFill="1" applyBorder="1" applyAlignment="1" applyProtection="1">
      <alignment horizontal="right"/>
      <protection locked="0"/>
    </xf>
    <xf numFmtId="0" fontId="26" fillId="0" borderId="0" xfId="0" applyFont="1"/>
    <xf numFmtId="0" fontId="5" fillId="0" borderId="0" xfId="1" applyFont="1" applyAlignment="1">
      <alignment horizontal="centerContinuous"/>
    </xf>
    <xf numFmtId="2" fontId="19" fillId="4" borderId="2" xfId="0" quotePrefix="1" applyNumberFormat="1" applyFont="1" applyFill="1" applyBorder="1"/>
    <xf numFmtId="2" fontId="19" fillId="4" borderId="1" xfId="3" quotePrefix="1" applyNumberFormat="1" applyFont="1" applyFill="1" applyBorder="1" applyProtection="1"/>
    <xf numFmtId="2" fontId="19" fillId="4" borderId="1" xfId="3" applyNumberFormat="1" applyFont="1" applyFill="1" applyBorder="1" applyProtection="1"/>
    <xf numFmtId="0" fontId="0" fillId="12" borderId="0" xfId="0" applyFill="1"/>
    <xf numFmtId="0" fontId="12" fillId="12" borderId="14" xfId="0" applyFont="1" applyFill="1" applyBorder="1" applyProtection="1">
      <protection locked="0"/>
    </xf>
    <xf numFmtId="0" fontId="26" fillId="12" borderId="0" xfId="0" applyFont="1" applyFill="1" applyAlignment="1">
      <alignment horizontal="left" indent="1"/>
    </xf>
    <xf numFmtId="0" fontId="76" fillId="0" borderId="14" xfId="1" applyFont="1" applyBorder="1" applyProtection="1">
      <protection locked="0"/>
    </xf>
    <xf numFmtId="164" fontId="23" fillId="6" borderId="1" xfId="3" applyNumberFormat="1" applyFont="1" applyFill="1" applyBorder="1" applyAlignment="1" applyProtection="1">
      <alignment horizontal="right"/>
      <protection locked="0"/>
    </xf>
    <xf numFmtId="49" fontId="23" fillId="6" borderId="1" xfId="0" applyNumberFormat="1" applyFont="1" applyFill="1" applyBorder="1" applyProtection="1">
      <protection locked="0"/>
    </xf>
    <xf numFmtId="0" fontId="83" fillId="0" borderId="0" xfId="1" applyFont="1" applyProtection="1">
      <protection locked="0"/>
    </xf>
    <xf numFmtId="0" fontId="101" fillId="0" borderId="0" xfId="0" applyFont="1"/>
    <xf numFmtId="0" fontId="5" fillId="0" borderId="0" xfId="1" applyFont="1" applyAlignment="1" applyProtection="1">
      <alignment horizontal="left" indent="3"/>
      <protection locked="0"/>
    </xf>
    <xf numFmtId="0" fontId="102" fillId="0" borderId="0" xfId="0" applyFont="1" applyAlignment="1">
      <alignment horizontal="left" vertical="center" indent="1"/>
    </xf>
    <xf numFmtId="9" fontId="0" fillId="0" borderId="0" xfId="0" applyNumberFormat="1"/>
    <xf numFmtId="9" fontId="0" fillId="0" borderId="0" xfId="0" applyNumberFormat="1" applyAlignment="1">
      <alignment horizontal="left"/>
    </xf>
    <xf numFmtId="0" fontId="103" fillId="12" borderId="0" xfId="0" applyFont="1" applyFill="1"/>
    <xf numFmtId="9" fontId="19" fillId="4" borderId="1" xfId="3" quotePrefix="1" applyFont="1" applyFill="1" applyBorder="1" applyProtection="1"/>
    <xf numFmtId="0" fontId="30" fillId="6" borderId="9" xfId="1" applyFont="1" applyFill="1" applyBorder="1" applyAlignment="1" applyProtection="1">
      <alignment horizontal="center"/>
      <protection hidden="1"/>
    </xf>
    <xf numFmtId="0" fontId="30" fillId="6" borderId="10" xfId="1" applyFont="1" applyFill="1" applyBorder="1" applyAlignment="1" applyProtection="1">
      <alignment horizontal="center"/>
      <protection hidden="1"/>
    </xf>
    <xf numFmtId="0" fontId="6" fillId="4" borderId="9" xfId="1" applyFont="1" applyFill="1" applyBorder="1" applyAlignment="1" applyProtection="1">
      <alignment horizontal="center" vertical="top"/>
      <protection hidden="1"/>
    </xf>
    <xf numFmtId="0" fontId="6" fillId="4" borderId="10" xfId="1" applyFont="1" applyFill="1" applyBorder="1" applyAlignment="1" applyProtection="1">
      <alignment horizontal="center" vertical="top"/>
      <protection hidden="1"/>
    </xf>
    <xf numFmtId="0" fontId="75" fillId="5" borderId="9" xfId="1" applyFont="1" applyFill="1" applyBorder="1" applyAlignment="1" applyProtection="1">
      <alignment horizontal="center"/>
      <protection hidden="1"/>
    </xf>
    <xf numFmtId="0" fontId="75" fillId="5" borderId="10" xfId="1" applyFont="1" applyFill="1" applyBorder="1" applyAlignment="1" applyProtection="1">
      <alignment horizontal="center"/>
      <protection hidden="1"/>
    </xf>
    <xf numFmtId="0" fontId="34" fillId="0" borderId="9" xfId="1" applyFont="1" applyBorder="1" applyAlignment="1" applyProtection="1">
      <alignment horizontal="center"/>
      <protection hidden="1"/>
    </xf>
    <xf numFmtId="0" fontId="34" fillId="0" borderId="10" xfId="1" applyFont="1" applyBorder="1" applyAlignment="1" applyProtection="1">
      <alignment horizontal="center"/>
      <protection hidden="1"/>
    </xf>
    <xf numFmtId="0" fontId="23" fillId="6" borderId="0" xfId="1" applyFont="1" applyFill="1" applyAlignment="1" applyProtection="1">
      <alignment horizontal="left" wrapText="1"/>
      <protection locked="0"/>
    </xf>
    <xf numFmtId="0" fontId="48" fillId="0" borderId="0" xfId="0" applyFont="1" applyAlignment="1" applyProtection="1">
      <alignment horizontal="left" wrapText="1"/>
      <protection locked="0"/>
    </xf>
    <xf numFmtId="0" fontId="87" fillId="4" borderId="12" xfId="0" applyFont="1" applyFill="1" applyBorder="1" applyAlignment="1" applyProtection="1">
      <alignment horizontal="center"/>
      <protection locked="0"/>
    </xf>
    <xf numFmtId="0" fontId="87" fillId="4" borderId="3" xfId="0" applyFont="1" applyFill="1" applyBorder="1" applyAlignment="1" applyProtection="1">
      <alignment horizontal="center"/>
      <protection locked="0"/>
    </xf>
    <xf numFmtId="0" fontId="87" fillId="4" borderId="13" xfId="0" applyFont="1" applyFill="1" applyBorder="1" applyAlignment="1" applyProtection="1">
      <alignment horizontal="center"/>
      <protection locked="0"/>
    </xf>
    <xf numFmtId="0" fontId="41" fillId="0" borderId="0" xfId="0" applyFont="1" applyAlignment="1" applyProtection="1">
      <alignment horizontal="left" wrapText="1"/>
      <protection locked="0"/>
    </xf>
    <xf numFmtId="0" fontId="41" fillId="0" borderId="0" xfId="0" applyFont="1" applyAlignment="1" applyProtection="1">
      <alignment horizontal="left"/>
      <protection locked="0"/>
    </xf>
    <xf numFmtId="0" fontId="48" fillId="0" borderId="0" xfId="0" applyFont="1" applyAlignment="1" applyProtection="1">
      <alignment horizontal="left"/>
      <protection locked="0"/>
    </xf>
    <xf numFmtId="0" fontId="23" fillId="6" borderId="1" xfId="0" applyFont="1" applyFill="1" applyBorder="1" applyAlignment="1" applyProtection="1">
      <alignment horizontal="left"/>
      <protection locked="0"/>
    </xf>
    <xf numFmtId="0" fontId="23" fillId="6" borderId="1" xfId="1" applyFont="1" applyFill="1" applyBorder="1" applyAlignment="1" applyProtection="1">
      <alignment horizontal="left"/>
      <protection locked="0"/>
    </xf>
    <xf numFmtId="0" fontId="23" fillId="6" borderId="1" xfId="0" applyFont="1" applyFill="1" applyBorder="1" applyAlignment="1" applyProtection="1">
      <alignment horizontal="center"/>
      <protection locked="0"/>
    </xf>
    <xf numFmtId="1" fontId="23" fillId="6" borderId="1" xfId="3" applyNumberFormat="1" applyFont="1" applyFill="1" applyBorder="1" applyAlignment="1" applyProtection="1">
      <alignment horizontal="left"/>
      <protection locked="0"/>
    </xf>
    <xf numFmtId="0" fontId="100" fillId="13" borderId="1" xfId="0" applyFont="1" applyFill="1" applyBorder="1" applyProtection="1">
      <protection locked="0"/>
    </xf>
    <xf numFmtId="0" fontId="23" fillId="6" borderId="1" xfId="1" applyFont="1" applyFill="1" applyBorder="1" applyAlignment="1" applyProtection="1">
      <alignment horizontal="left" wrapText="1"/>
      <protection locked="0"/>
    </xf>
    <xf numFmtId="0" fontId="12" fillId="6" borderId="1" xfId="0" applyFont="1" applyFill="1" applyBorder="1" applyAlignment="1" applyProtection="1">
      <alignment horizontal="center"/>
      <protection locked="0"/>
    </xf>
    <xf numFmtId="0" fontId="56" fillId="6" borderId="1" xfId="4" applyFill="1" applyBorder="1" applyAlignment="1" applyProtection="1">
      <alignment horizontal="center"/>
      <protection locked="0"/>
    </xf>
    <xf numFmtId="0" fontId="23" fillId="6" borderId="1" xfId="0" applyFont="1" applyFill="1" applyBorder="1" applyAlignment="1" applyProtection="1">
      <alignment wrapText="1"/>
      <protection locked="0"/>
    </xf>
    <xf numFmtId="0" fontId="20" fillId="0" borderId="0" xfId="0" applyFont="1" applyAlignment="1" applyProtection="1">
      <alignment wrapText="1"/>
      <protection locked="0"/>
    </xf>
    <xf numFmtId="0" fontId="20" fillId="0" borderId="0" xfId="0" applyFont="1" applyAlignment="1" applyProtection="1">
      <alignment vertical="top" wrapText="1"/>
      <protection locked="0"/>
    </xf>
    <xf numFmtId="0" fontId="23" fillId="6" borderId="1" xfId="1" applyFont="1" applyFill="1" applyBorder="1" applyAlignment="1" applyProtection="1">
      <alignment horizontal="center" wrapText="1"/>
      <protection locked="0"/>
    </xf>
    <xf numFmtId="3" fontId="23" fillId="6" borderId="22" xfId="3" applyNumberFormat="1" applyFont="1" applyFill="1" applyBorder="1" applyProtection="1">
      <protection locked="0"/>
    </xf>
    <xf numFmtId="3" fontId="23" fillId="6" borderId="1" xfId="3" applyNumberFormat="1" applyFont="1" applyFill="1" applyBorder="1" applyProtection="1">
      <protection locked="0"/>
    </xf>
    <xf numFmtId="0" fontId="27" fillId="0" borderId="0" xfId="0" applyFont="1" applyAlignment="1" applyProtection="1">
      <alignment horizontal="center"/>
      <protection locked="0"/>
    </xf>
    <xf numFmtId="3" fontId="23" fillId="6" borderId="18" xfId="3" applyNumberFormat="1" applyFont="1" applyFill="1" applyBorder="1" applyProtection="1">
      <protection locked="0"/>
    </xf>
    <xf numFmtId="0" fontId="23" fillId="6" borderId="1" xfId="0" applyFont="1" applyFill="1" applyBorder="1" applyProtection="1">
      <protection locked="0"/>
    </xf>
    <xf numFmtId="0" fontId="23" fillId="6" borderId="1" xfId="0" applyFont="1" applyFill="1" applyBorder="1" applyAlignment="1" applyProtection="1">
      <alignment horizontal="left" vertical="top" wrapText="1"/>
      <protection locked="0"/>
    </xf>
    <xf numFmtId="0" fontId="30" fillId="6" borderId="1" xfId="1" applyFont="1" applyFill="1" applyBorder="1" applyAlignment="1" applyProtection="1">
      <alignment horizontal="left"/>
      <protection locked="0"/>
    </xf>
    <xf numFmtId="0" fontId="23" fillId="6" borderId="1" xfId="1" applyFont="1" applyFill="1" applyBorder="1" applyAlignment="1" applyProtection="1">
      <alignment horizontal="center"/>
      <protection locked="0"/>
    </xf>
    <xf numFmtId="0" fontId="23" fillId="6" borderId="1" xfId="0" applyFont="1" applyFill="1" applyBorder="1" applyAlignment="1" applyProtection="1">
      <alignment horizontal="center" wrapText="1"/>
      <protection locked="0"/>
    </xf>
    <xf numFmtId="0" fontId="19" fillId="0" borderId="0" xfId="0" applyFont="1" applyAlignment="1" applyProtection="1">
      <alignment wrapText="1"/>
      <protection locked="0"/>
    </xf>
    <xf numFmtId="9" fontId="26" fillId="0" borderId="0" xfId="0" applyNumberFormat="1" applyFont="1" applyAlignment="1" applyProtection="1">
      <alignment horizontal="right"/>
      <protection locked="0"/>
    </xf>
    <xf numFmtId="0" fontId="12" fillId="6" borderId="1" xfId="0" applyFont="1" applyFill="1" applyBorder="1" applyAlignment="1" applyProtection="1">
      <alignment horizontal="left" wrapText="1"/>
      <protection locked="0"/>
    </xf>
    <xf numFmtId="0" fontId="12" fillId="6" borderId="1" xfId="0" applyFont="1" applyFill="1" applyBorder="1" applyAlignment="1" applyProtection="1">
      <alignment horizontal="left"/>
      <protection locked="0"/>
    </xf>
    <xf numFmtId="0" fontId="52" fillId="5" borderId="0" xfId="0" applyFont="1" applyFill="1" applyAlignment="1" applyProtection="1">
      <alignment horizontal="center" vertical="top" wrapText="1"/>
      <protection locked="0"/>
    </xf>
    <xf numFmtId="0" fontId="52" fillId="0" borderId="0" xfId="0" applyFont="1" applyAlignment="1" applyProtection="1">
      <alignment horizontal="center" vertical="top" wrapText="1"/>
      <protection locked="0"/>
    </xf>
  </cellXfs>
  <cellStyles count="5">
    <cellStyle name="Hyperlink" xfId="4" builtinId="8"/>
    <cellStyle name="Normal" xfId="0" builtinId="0"/>
    <cellStyle name="Normal 4" xfId="1" xr:uid="{82B0F916-13BB-4659-8A3E-869C5EA643EC}"/>
    <cellStyle name="Percent" xfId="3" builtinId="5"/>
    <cellStyle name="Percent 3" xfId="2" xr:uid="{40AB3BCB-1826-42C9-8EFB-17A24BB4E6C2}"/>
  </cellStyles>
  <dxfs count="206">
    <dxf>
      <fill>
        <patternFill>
          <bgColor rgb="FFFFFF00"/>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theme="6"/>
      </font>
    </dxf>
    <dxf>
      <font>
        <b/>
        <i val="0"/>
        <color rgb="FFC00000"/>
      </font>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6"/>
      </font>
      <fill>
        <patternFill>
          <bgColor theme="2"/>
        </patternFill>
      </fill>
    </dxf>
    <dxf>
      <font>
        <b/>
        <i val="0"/>
        <color rgb="FFC00000"/>
      </font>
    </dxf>
    <dxf>
      <font>
        <b/>
        <i val="0"/>
        <color theme="6"/>
      </font>
    </dxf>
    <dxf>
      <font>
        <b/>
        <i val="0"/>
        <color rgb="FFC00000"/>
      </font>
    </dxf>
    <dxf>
      <font>
        <b/>
        <i val="0"/>
        <color theme="6"/>
      </font>
    </dxf>
    <dxf>
      <font>
        <b/>
        <i val="0"/>
        <color theme="6"/>
      </font>
    </dxf>
    <dxf>
      <font>
        <b/>
        <i val="0"/>
        <color rgb="FFC00000"/>
      </font>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rgb="FFC00000"/>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patternType="solid">
          <bgColor theme="2"/>
        </patternFill>
      </fill>
      <border>
        <vertical/>
        <horizontal/>
      </border>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numFmt numFmtId="0" formatCode="General"/>
    </dxf>
    <dxf>
      <font>
        <strike val="0"/>
        <outline val="0"/>
        <shadow val="0"/>
        <u val="none"/>
        <vertAlign val="baseline"/>
        <sz val="11"/>
        <color rgb="FF008000"/>
        <name val="Calibri"/>
        <family val="2"/>
        <scheme val="minor"/>
      </font>
      <numFmt numFmtId="0" formatCode="General"/>
    </dxf>
    <dxf>
      <numFmt numFmtId="0" formatCode="General"/>
    </dxf>
    <dxf>
      <numFmt numFmtId="0" formatCode="General"/>
    </dxf>
    <dxf>
      <numFmt numFmtId="0" formatCode="General"/>
    </dxf>
    <dxf>
      <numFmt numFmtId="0" formatCode="General"/>
    </dxf>
    <dxf>
      <font>
        <strike val="0"/>
        <outline val="0"/>
        <shadow val="0"/>
        <vertAlign val="baseline"/>
        <sz val="11"/>
        <name val="Calibri"/>
        <family val="2"/>
        <scheme val="minor"/>
      </font>
      <numFmt numFmtId="0" formatCode="General"/>
      <fill>
        <patternFill patternType="none">
          <fgColor indexed="64"/>
          <bgColor auto="1"/>
        </patternFill>
      </fill>
      <protection locked="1" hidden="0"/>
    </dxf>
    <dxf>
      <font>
        <strike val="0"/>
        <outline val="0"/>
        <shadow val="0"/>
        <u val="none"/>
        <vertAlign val="baseline"/>
        <sz val="11"/>
        <color rgb="FF3333FF"/>
        <name val="Calibri"/>
        <family val="2"/>
        <scheme val="minor"/>
      </font>
      <numFmt numFmtId="0" formatCode="General"/>
      <fill>
        <patternFill patternType="none">
          <fgColor indexed="64"/>
          <bgColor auto="1"/>
        </patternFill>
      </fill>
      <protection locked="1" hidden="0"/>
    </dxf>
    <dxf>
      <font>
        <strike val="0"/>
        <outline val="0"/>
        <shadow val="0"/>
        <vertAlign val="baseline"/>
        <sz val="11"/>
        <name val="Calibri"/>
        <family val="2"/>
        <scheme val="minor"/>
      </font>
      <numFmt numFmtId="165" formatCode="0000"/>
      <fill>
        <patternFill patternType="none">
          <fgColor indexed="64"/>
          <bgColor auto="1"/>
        </patternFill>
      </fill>
      <protection locked="1" hidden="0"/>
    </dxf>
    <dxf>
      <font>
        <strike val="0"/>
        <outline val="0"/>
        <shadow val="0"/>
        <vertAlign val="baseline"/>
        <sz val="11"/>
        <name val="Calibri"/>
        <family val="2"/>
        <scheme val="minor"/>
      </font>
      <fill>
        <patternFill patternType="none">
          <fgColor indexed="64"/>
          <bgColor auto="1"/>
        </patternFill>
      </fill>
      <protection locked="0" hidden="0"/>
    </dxf>
    <dxf>
      <font>
        <strike val="0"/>
        <outline val="0"/>
        <shadow val="0"/>
        <vertAlign val="baseline"/>
        <sz val="11"/>
        <name val="Calibri"/>
        <family val="2"/>
        <scheme val="minor"/>
      </font>
      <protection locked="0" hidden="0"/>
    </dxf>
  </dxfs>
  <tableStyles count="0" defaultTableStyle="TableStyleMedium2" defaultPivotStyle="PivotStyleLight16"/>
  <colors>
    <mruColors>
      <color rgb="FFDFC9EF"/>
      <color rgb="FFFFBDBD"/>
      <color rgb="FF3333FF"/>
      <color rgb="FFFFFFCC"/>
      <color rgb="FFC39BE1"/>
      <color rgb="FFE1CCF0"/>
      <color rgb="FFCDACE6"/>
      <color rgb="FF55A839"/>
      <color rgb="FF008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544286</xdr:colOff>
      <xdr:row>5</xdr:row>
      <xdr:rowOff>108859</xdr:rowOff>
    </xdr:from>
    <xdr:to>
      <xdr:col>12</xdr:col>
      <xdr:colOff>616625</xdr:colOff>
      <xdr:row>18</xdr:row>
      <xdr:rowOff>108857</xdr:rowOff>
    </xdr:to>
    <xdr:pic>
      <xdr:nvPicPr>
        <xdr:cNvPr id="4" name="Picture 3">
          <a:extLst>
            <a:ext uri="{FF2B5EF4-FFF2-40B4-BE49-F238E27FC236}">
              <a16:creationId xmlns:a16="http://schemas.microsoft.com/office/drawing/2014/main" id="{A8289345-D982-4A74-A100-FBDEA405B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0143" y="1306288"/>
          <a:ext cx="4916482" cy="247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421821</xdr:colOff>
      <xdr:row>7</xdr:row>
      <xdr:rowOff>40821</xdr:rowOff>
    </xdr:from>
    <xdr:to>
      <xdr:col>7</xdr:col>
      <xdr:colOff>1020932</xdr:colOff>
      <xdr:row>17</xdr:row>
      <xdr:rowOff>57317</xdr:rowOff>
    </xdr:to>
    <xdr:pic>
      <xdr:nvPicPr>
        <xdr:cNvPr id="7" name="Picture 6">
          <a:extLst>
            <a:ext uri="{FF2B5EF4-FFF2-40B4-BE49-F238E27FC236}">
              <a16:creationId xmlns:a16="http://schemas.microsoft.com/office/drawing/2014/main" id="{F405B373-5735-CEE8-FC0F-1E13C5224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 y="1619250"/>
          <a:ext cx="5443253" cy="1921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Shared%20Folders\EFCG%20Documents\1%20Surveys\1%20Conference%20Survey%20Forms\CEO\2023\2023%20EFCG%20CEO%20Survey%20Form%20-%20BLANK.xlsx" TargetMode="External"/><Relationship Id="rId1" Type="http://schemas.openxmlformats.org/officeDocument/2006/relationships/externalLinkPath" Target="/Shared%20Folders/EFCG%20Documents/1%20Surveys/1%20Conference%20Survey%20Forms/CEO/2023/2023%20EFCG%20CEO%20Survey%20Form%20-%20BLAN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Shared%20Folders\EFCG%20Documents\1%20Surveys\1%20Conference%20Survey%20Forms\CFO\2024\2024%20EFCG%20CFO%20Survey%20Form%20-%20BLANK%20(Unlocked).xlsx" TargetMode="External"/><Relationship Id="rId1" Type="http://schemas.openxmlformats.org/officeDocument/2006/relationships/externalLinkPath" Target="/Shared%20Folders/EFCG%20Documents/1%20Surveys/1%20Conference%20Survey%20Forms/CFO/2024/2024%20EFCG%20CFO%20Survey%20Form%20-%20BLANK%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Key Financials"/>
      <sheetName val="Overhead"/>
      <sheetName val="Revenue Details"/>
      <sheetName val="Additional Revenue Details"/>
      <sheetName val="CapEx, M&amp;A"/>
      <sheetName val="Ownership, Governance, Talent"/>
      <sheetName val="CEO Supplement"/>
      <sheetName val="Glossary"/>
      <sheetName val="Survey Backend &gt;&gt;"/>
      <sheetName val="DB_Mapping"/>
      <sheetName val="Checks"/>
      <sheetName val="Dropdowns"/>
      <sheetName val="Exchange_Rates_Impor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AA20" t="str">
            <v>Yes</v>
          </cell>
        </row>
        <row r="21">
          <cell r="AA21" t="str">
            <v>No</v>
          </cell>
        </row>
        <row r="22">
          <cell r="AA22" t="str">
            <v>Unsure</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age 1"/>
      <sheetName val="Page 2"/>
      <sheetName val="Page 3"/>
      <sheetName val="Page 4"/>
      <sheetName val="Glossary"/>
      <sheetName val="Survey Backend &gt;&gt;"/>
      <sheetName val="DB_Mapping"/>
      <sheetName val="Checks"/>
      <sheetName val="Dropdowns"/>
      <sheetName val="Exchange_Rates_Import"/>
    </sheetNames>
    <sheetDataSet>
      <sheetData sheetId="0"/>
      <sheetData sheetId="1"/>
      <sheetData sheetId="2"/>
      <sheetData sheetId="3"/>
      <sheetData sheetId="4"/>
      <sheetData sheetId="5"/>
      <sheetData sheetId="6"/>
      <sheetData sheetId="7"/>
      <sheetData sheetId="8"/>
      <sheetData sheetId="9">
        <row r="20">
          <cell r="V20" t="str">
            <v>No premium</v>
          </cell>
        </row>
        <row r="21">
          <cell r="V21" t="str">
            <v>&lt;5%</v>
          </cell>
        </row>
        <row r="22">
          <cell r="V22" t="str">
            <v>5-10%</v>
          </cell>
        </row>
        <row r="23">
          <cell r="V23" t="str">
            <v>10-20%</v>
          </cell>
        </row>
        <row r="24">
          <cell r="V24" t="str">
            <v>&gt;20%</v>
          </cell>
        </row>
        <row r="25">
          <cell r="V25" t="str">
            <v>Not sure</v>
          </cell>
        </row>
      </sheetData>
      <sheetData sheetId="10"/>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7CE565B1-0D77-4E71-8BBE-29FF5644F948}" autoFormatId="16" applyNumberFormats="0" applyBorderFormats="0" applyFontFormats="0" applyPatternFormats="0" applyAlignmentFormats="0" applyWidthHeightFormats="0">
  <queryTableRefresh nextId="17">
    <queryTableFields count="12">
      <queryTableField id="5" name="Currency" tableColumnId="1"/>
      <queryTableField id="6" name="2015" tableColumnId="2"/>
      <queryTableField id="7" name="2016" tableColumnId="3"/>
      <queryTableField id="8" name="2017" tableColumnId="4"/>
      <queryTableField id="9" name="2018" tableColumnId="5"/>
      <queryTableField id="10" name="2019" tableColumnId="6"/>
      <queryTableField id="11" name="2020" tableColumnId="7"/>
      <queryTableField id="12" name="2021" tableColumnId="8"/>
      <queryTableField id="13" name="2022" tableColumnId="9"/>
      <queryTableField id="14" name="2023" tableColumnId="10"/>
      <queryTableField id="15" name="2024" tableColumnId="11"/>
      <queryTableField id="16" name="2025" tableColumnId="12"/>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40329A-8C7E-48D0-A337-BA3683692336}" name="DB_Map" displayName="DB_Map" ref="A40:C731" totalsRowShown="0" headerRowDxfId="205" dataDxfId="204">
  <autoFilter ref="A40:C731" xr:uid="{39474B92-3166-4781-9C28-6A844A48BA00}"/>
  <tableColumns count="3">
    <tableColumn id="1" xr3:uid="{EE803442-9EF8-4E6F-B172-8450773E1984}" name="ID" dataDxfId="203"/>
    <tableColumn id="9" xr3:uid="{9BF6D734-73AC-47A3-9E2F-75C26B8C506E}" name="Location" dataDxfId="202">
      <calculatedColumnFormula>CELL("address", 'Key Financials'!E5)</calculatedColumnFormula>
    </tableColumn>
    <tableColumn id="10" xr3:uid="{12A12105-A98D-4591-AD4C-3BE40C67BD84}" name="Survey Form Value" dataDxfId="201">
      <calculatedColumnFormula>INDIRECT(DB_Map[[#This Row],[Location]])</calculatedColumnFormula>
    </tableColumn>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4B1D95-4998-4610-96C2-E3A489B1B14C}" name="ChecksTable" displayName="ChecksTable" ref="A27:C86">
  <autoFilter ref="A27:C86" xr:uid="{840F9C59-A295-461F-BC5B-C5FB6649DA59}"/>
  <tableColumns count="3">
    <tableColumn id="6" xr3:uid="{AF2264EC-0E66-4A59-9360-904391A6F983}" name="ID" dataDxfId="200" totalsRowDxfId="199"/>
    <tableColumn id="3" xr3:uid="{C58FEF07-0960-4AB2-8389-BD9443B039E4}" name="Location" totalsRowFunction="custom" dataDxfId="198" totalsRowDxfId="197">
      <totalsRowFormula>CELL("address", 'Ownership, Governance, Talent'!P105)</totalsRowFormula>
    </tableColumn>
    <tableColumn id="5" xr3:uid="{C6CD9D11-3B83-4EE3-BB8F-47DF1C9D1DF6}" name="Status" dataDxfId="196">
      <calculatedColumnFormula>INDIRECT(ChecksTable[[#This Row],[Location]])="OK"</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FD19D05-4B89-4C4E-9C15-1A4DE7160ECE}" name="Dropdowns" displayName="Dropdowns" ref="A19:CA246" totalsRowShown="0">
  <autoFilter ref="A19:CA246" xr:uid="{4EA51B92-78EC-4E78-B377-2CDF49A334A2}"/>
  <tableColumns count="79">
    <tableColumn id="1" xr3:uid="{8DAC891F-46A0-4292-BAC2-190BE4ABF920}" name="Code"/>
    <tableColumn id="2" xr3:uid="{9ED56457-1668-454C-8B7C-39EB06704A48}" name="Blank Only"/>
    <tableColumn id="3" xr3:uid="{DFC8CB1B-EDED-4E60-8B8A-DE7591565291}" name="Yes/No"/>
    <tableColumn id="8" xr3:uid="{BE20675E-AA75-4F9A-A2B7-01ABB35EDB8B}" name="Years"/>
    <tableColumn id="11" xr3:uid="{B5D8CFAA-6328-47A9-9D2A-F90E191C8B87}" name="Months"/>
    <tableColumn id="4" xr3:uid="{B5ED6630-17CD-4C63-837A-729FE7D0E3D5}" name="Countries"/>
    <tableColumn id="5" xr3:uid="{748D46D4-C70C-46FE-96E9-918E416E6474}" name="States"/>
    <tableColumn id="6" xr3:uid="{0209A6A8-AA62-4F0D-BAEF-52B368477ACE}" name="Public/Private"/>
    <tableColumn id="7" xr3:uid="{F547982E-F099-4C64-AA12-6323C46880C8}" name="Private Sub-Types"/>
    <tableColumn id="12" xr3:uid="{5CF1CC56-E0A8-42A8-8001-128B96D3C1C7}" name="Customer Advance Locations"/>
    <tableColumn id="18" xr3:uid="{3C5DF45F-3607-4068-8588-865F73145969}" name="Accoutning Methods"/>
    <tableColumn id="9" xr3:uid="{B39BC084-4929-4A1C-A47F-9B21761F58DB}" name="AcqPurpose"/>
    <tableColumn id="10" xr3:uid="{3CEC39FA-68DB-4687-95D4-F8183CA16D82}" name="IntChallenge"/>
    <tableColumn id="20" xr3:uid="{FB1224BA-8BC4-4F2F-AB90-8B64A4DA62EF}" name="Pressure"/>
    <tableColumn id="19" xr3:uid="{3A979A1C-5634-4D7E-9AEA-FEDA85640769}" name="StratPlan Time Horizon"/>
    <tableColumn id="13" xr3:uid="{8E66D96E-CEB1-485E-80D5-5FE06B19F9CF}" name="Employee Next Steps"/>
    <tableColumn id="14" xr3:uid="{FEB88A71-9C86-4EE4-A73D-E4DB75A37587}" name="Diversity Challenges"/>
    <tableColumn id="15" xr3:uid="{208E2F7A-FE34-456E-A431-852D3569A921}" name="Revenue Growth Estimates"/>
    <tableColumn id="16" xr3:uid="{C22259E4-07A6-4870-8254-DCDE2A1C71F9}" name="Profitability Estimates"/>
    <tableColumn id="21" xr3:uid="{8DB4D33E-AD34-4C2F-8B0B-D4ECF0C72215}" name="Sustainability Main Opportunities"/>
    <tableColumn id="23" xr3:uid="{6529FC29-2A98-498B-9EC1-F701A109AFEF}" name="Sustainability Main Drivers"/>
    <tableColumn id="28" xr3:uid="{24DCE2C2-68FC-47C9-A952-8CD768BA08C6}" name="Sustainability - change over the last year"/>
    <tableColumn id="25" xr3:uid="{C40758D0-FB80-40BA-83FB-596B686CCE9C}" name="Sustainability - Disclosures"/>
    <tableColumn id="27" xr3:uid="{4AC0DF19-9A49-44DC-A471-1CC6D22EC65C}" name="Sustainability Performance Reporting"/>
    <tableColumn id="26" xr3:uid="{7196A6F2-DD7B-4B1F-9EE9-B292F8AF7741}" name="Sustainability - Multiple Choice"/>
    <tableColumn id="22" xr3:uid="{CD75CAB9-D252-42A5-BF82-B581DFB19D1E}" name="Sustainability Key Challenges"/>
    <tableColumn id="29" xr3:uid="{E812BF5B-1E2F-450F-A09A-26B0758F8886}" name="DEI"/>
    <tableColumn id="24" xr3:uid="{FA8DEDBD-051C-42C7-927F-3D0D3F3EAF41}" name="Sustainability"/>
    <tableColumn id="30" xr3:uid="{4B50E7A9-42C0-4016-9AF8-CECE46358A83}" name="Post - Merger Integration"/>
    <tableColumn id="31" xr3:uid="{B8ECB4E4-108E-4631-9BCD-DFBF1F86F74B}" name="Start / PMI process?"/>
    <tableColumn id="32" xr3:uid="{48E52AF0-5C24-4940-8851-621873BEA179}" name="PMI Team"/>
    <tableColumn id="33" xr3:uid="{641D60BB-7EFE-46AC-9662-9C670450730A}" name="PMI Process"/>
    <tableColumn id="34" xr3:uid="{D26A2D63-A79E-4182-8BB1-E30B9BEB3FC1}" name="Why Employees Leaving?"/>
    <tableColumn id="35" xr3:uid="{DF607907-DAE7-48DB-B4ED-274BB990CE16}" name="DEI - Compensation and Objectives?"/>
    <tableColumn id="36" xr3:uid="{B1C8737A-4AEA-4F90-98FF-C856DDD44756}" name="Column1"/>
    <tableColumn id="37" xr3:uid="{4768F3F4-73C7-45BF-872C-CF6F92E0EADC}" name="Column2"/>
    <tableColumn id="38" xr3:uid="{D7D5141B-A37C-48AE-83DD-402EA438EFEE}" name="Column3"/>
    <tableColumn id="40" xr3:uid="{EFA45EA2-4B07-4D45-8014-82DBA2927FEE}" name="Infrastructure bill "/>
    <tableColumn id="39" xr3:uid="{7EC28DDD-90EA-4BFE-85FA-E9FCD824BC73}" name="Macro Trends - Concerns"/>
    <tableColumn id="42" xr3:uid="{28CD7276-DFA4-4BBE-B2E8-96119B88A560}" name="Market Dynamics - estimated profits (EBIBT)"/>
    <tableColumn id="43" xr3:uid="{21F4C84C-CC62-4B16-A06F-F30148354073}" name="Market Dynamics - estimated growth (net revenues)"/>
    <tableColumn id="41" xr3:uid="{719B5AAB-4143-4D1D-8A1E-A66190353DED}" name="Sector Markets"/>
    <tableColumn id="44" xr3:uid="{B76AD12A-BE12-4359-8356-4ACB64D739D2}" name="Work Policy"/>
    <tableColumn id="45" xr3:uid="{C9F5BB05-A056-4BB6-A668-DCF321A7AC97}" name="Hybrid Office Policies"/>
    <tableColumn id="46" xr3:uid="{9B59BF58-A830-4A6A-8124-D9FA943D7158}" name="Hybrid Decision Tree"/>
    <tableColumn id="47" xr3:uid="{51B51E99-04C7-4987-9E38-FCDFEA67B5D9}" name="Are you having trouble attracting and retaining talent?"/>
    <tableColumn id="48" xr3:uid="{5BA7D223-5C3A-4829-8AA7-F03B27038393}" name="Biggest Challange"/>
    <tableColumn id="49" xr3:uid="{BF893EBE-FEC9-4DB1-B38C-ED2EFF33D018}" name="Employee ownership"/>
    <tableColumn id="50" xr3:uid="{8716D809-23C3-42B9-8658-AE2F2E0A31A7}" name="Employee ownership - why?"/>
    <tableColumn id="51" xr3:uid="{14C20357-790B-46E8-83A1-3E50DD8711B1}" name="Other CEO Questions"/>
    <tableColumn id="17" xr3:uid="{9C7127EA-8862-404B-9944-BAE8F5AC074A}" name="FocusFirm Years"/>
    <tableColumn id="52" xr3:uid="{52E7061C-9D2F-4409-89B0-B40C6D17415F}" name="Profit from Subscriptions/Software?"/>
    <tableColumn id="53" xr3:uid="{4654310B-D3EA-4764-B756-E36B26154E84}" name="Majority/Minoriry Investment?"/>
    <tableColumn id="54" xr3:uid="{5510930E-9A2D-47AC-848D-88E2F9A1F3EA}" name="Employees using AI Daily"/>
    <tableColumn id="55" xr3:uid="{94BE9C02-C8B9-42AC-9FBF-04B7F296D69D}" name="Sustainability - Offering services"/>
    <tableColumn id="56" xr3:uid="{9236495A-1071-4A94-AB30-378820F5E574}" name="Sustainability - ROI"/>
    <tableColumn id="57" xr3:uid="{B56FF381-443B-4DB5-963F-B1D3817220C4}" name="Sustainability - Regulations"/>
    <tableColumn id="58" xr3:uid="{FB80C7A3-4C34-44F0-89E2-570050504B45}" name="Track Strategic Initiative Costs"/>
    <tableColumn id="60" xr3:uid="{791F1EBB-7402-4FBE-B89A-6334B1EF63EC}" name="Track ROI of Strategic Initiative Costs"/>
    <tableColumn id="59" xr3:uid="{5F71ADC6-0160-4A57-B124-C1494DC8725C}" name="Set-aside business certification M&amp;A discount"/>
    <tableColumn id="61" xr3:uid="{8CC8A7B7-DF70-40BE-949B-C1AD447BA1FA}" name="Workforce inclusivity program 12 months ago"/>
    <tableColumn id="62" xr3:uid="{FBBDC582-D984-47B0-BE7F-B356D315B5A0}" name="Workforce inclusivity program currently"/>
    <tableColumn id="63" xr3:uid="{DF9BBF2C-784D-4C9B-A1FA-164C68BA85AC}" name="Talent Frequency"/>
    <tableColumn id="64" xr3:uid="{25DFC636-CA29-4B85-BFEF-470C9FB8C60C}" name="BLP/AI Training"/>
    <tableColumn id="65" xr3:uid="{79E7BA69-DC48-4F8B-9924-DC27EBCDCF92}" name="Incentivize workshare?"/>
    <tableColumn id="66" xr3:uid="{282E367C-79A9-4FE5-B769-E0A32712B648}" name="Expected change in demand for ESG service in next 2Y"/>
    <tableColumn id="67" xr3:uid="{2119F7AB-FF90-414E-82CF-A15FCA8FEEB0}" name="Response to evolving ESG market"/>
    <tableColumn id="68" xr3:uid="{CFCAE79F-1DB8-4F04-8535-3077DB63C088}" name="Ease of increasing pricing"/>
    <tableColumn id="69" xr3:uid="{2DDD1C22-8A7A-48BA-9A80-07E38C2627FC}" name="Success in increasing pricing"/>
    <tableColumn id="70" xr3:uid="{7AE0F90C-1786-4B59-B78D-83F19F7A8287}" name="Determining client selectivity"/>
    <tableColumn id="71" xr3:uid="{E8989FDD-A1E4-4DD4-95A7-CF44E2111440}" name="Investment in AI training"/>
    <tableColumn id="72" xr3:uid="{08304836-7190-409F-98A8-873F075B5EF7}" name="Aspirations for AI adoption"/>
    <tableColumn id="73" xr3:uid="{4BA3D599-FA7C-4D55-822F-0272E06891F6}" name="% Revenues from management consulting"/>
    <tableColumn id="74" xr3:uid="{21C3182A-9734-469D-9671-52D2612D87C6}" name="FFP mix change in last 12 months"/>
    <tableColumn id="75" xr3:uid="{6B10D567-00CA-4A41-A331-8153BECE617F}" name="Driver of change in FFP mix"/>
    <tableColumn id="76" xr3:uid="{17F3B21B-7FFF-473F-884C-195A5A60A250}" name="Sustainability Loan?"/>
    <tableColumn id="77" xr3:uid="{FE8BF078-61AD-41B5-B2C8-19F01A579AD4}" name="% FTEs Offshored"/>
    <tableColumn id="78" xr3:uid="{EDD7EBE1-EB9E-40F8-B9D4-0EF66AEAB01B}" name="Recession belief"/>
    <tableColumn id="79" xr3:uid="{DFFC5311-CC4B-4C2A-BC32-747AAC11C302}" name="Impact of recessio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54C181-E8EE-462B-81E2-AF7C988B5052}" name="Exchange_Rates_Import" displayName="Exchange_Rates_Import" ref="A8:L19" tableType="queryTable" totalsRowShown="0">
  <autoFilter ref="A8:L19" xr:uid="{B253C22F-57F6-4EA4-9BA0-C035570BB866}"/>
  <tableColumns count="12">
    <tableColumn id="1" xr3:uid="{5DB75CD5-0A79-4EB5-8274-5D336A7F5DA4}" uniqueName="1" name="Currency" queryTableFieldId="5" dataDxfId="195"/>
    <tableColumn id="2" xr3:uid="{8A2C1243-D5D2-49C3-B7A1-504334340334}" uniqueName="2" name="2015" queryTableFieldId="6"/>
    <tableColumn id="3" xr3:uid="{00739724-87F5-44A6-AB1D-DD991C81B172}" uniqueName="3" name="2016" queryTableFieldId="7"/>
    <tableColumn id="4" xr3:uid="{CF2FF488-9F6A-4B28-95A5-059C5EB5BC12}" uniqueName="4" name="2017" queryTableFieldId="8"/>
    <tableColumn id="5" xr3:uid="{1B3CA242-71CB-4C44-AB67-D69F85175AE3}" uniqueName="5" name="2018" queryTableFieldId="9"/>
    <tableColumn id="6" xr3:uid="{AF7D28F9-6A52-4A63-B52A-B57199BA7912}" uniqueName="6" name="2019" queryTableFieldId="10"/>
    <tableColumn id="7" xr3:uid="{FB9207D2-6D53-47B6-A5FB-781CCDDAECED}" uniqueName="7" name="2020" queryTableFieldId="11"/>
    <tableColumn id="8" xr3:uid="{BE378777-691D-47E3-8A03-A447F0048BA0}" uniqueName="8" name="2021" queryTableFieldId="12"/>
    <tableColumn id="9" xr3:uid="{9513220D-7A38-45FF-B7F5-83E56980B0F1}" uniqueName="9" name="2022" queryTableFieldId="13"/>
    <tableColumn id="10" xr3:uid="{EF48E556-DD30-4B54-B357-E3C6C3A28B3A}" uniqueName="10" name="2023" queryTableFieldId="14"/>
    <tableColumn id="11" xr3:uid="{12331BD7-98E9-44CE-9946-93753A291AB2}" uniqueName="11" name="2024" queryTableFieldId="15"/>
    <tableColumn id="12" xr3:uid="{FB21E7FE-AC66-452C-9A84-3092A2AC62D7}" uniqueName="12" name="2025" queryTableFieldId="1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EFCG">
      <a:dk1>
        <a:sysClr val="windowText" lastClr="000000"/>
      </a:dk1>
      <a:lt1>
        <a:sysClr val="window" lastClr="FFFFFF"/>
      </a:lt1>
      <a:dk2>
        <a:srgbClr val="44546A"/>
      </a:dk2>
      <a:lt2>
        <a:srgbClr val="E7E6E6"/>
      </a:lt2>
      <a:accent1>
        <a:srgbClr val="002060"/>
      </a:accent1>
      <a:accent2>
        <a:srgbClr val="538135"/>
      </a:accent2>
      <a:accent3>
        <a:srgbClr val="A5A5A5"/>
      </a:accent3>
      <a:accent4>
        <a:srgbClr val="5B9BD5"/>
      </a:accent4>
      <a:accent5>
        <a:srgbClr val="A8D08D"/>
      </a:accent5>
      <a:accent6>
        <a:srgbClr val="E7E6E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C146B-1034-48CC-BB17-7FE9A3D52031}">
  <sheetPr codeName="Sheet12">
    <tabColor theme="1" tint="0.499984740745262"/>
    <pageSetUpPr fitToPage="1"/>
  </sheetPr>
  <dimension ref="A1:R61"/>
  <sheetViews>
    <sheetView showGridLines="0" tabSelected="1" zoomScale="70" zoomScaleNormal="70" zoomScaleSheetLayoutView="85" workbookViewId="0"/>
  </sheetViews>
  <sheetFormatPr defaultColWidth="0" defaultRowHeight="15" zeroHeight="1" x14ac:dyDescent="0.25"/>
  <cols>
    <col min="1" max="3" width="2.5703125" customWidth="1"/>
    <col min="4" max="13" width="18.140625" customWidth="1"/>
    <col min="14" max="15" width="3" customWidth="1"/>
    <col min="16" max="16" width="65.5703125" hidden="1" customWidth="1"/>
    <col min="17" max="17" width="2.5703125" hidden="1" customWidth="1"/>
    <col min="18" max="18" width="0" hidden="1" customWidth="1"/>
    <col min="19" max="16384" width="8.85546875" hidden="1"/>
  </cols>
  <sheetData>
    <row r="1" spans="3:14" x14ac:dyDescent="0.25"/>
    <row r="2" spans="3:14" ht="33.75" x14ac:dyDescent="0.25">
      <c r="C2" s="2" t="str">
        <f>_xlfn.CONCAT(TEXT(2025, "0000"), " ACEC &amp; EFCG Key Financials Survey")</f>
        <v>2025 ACEC &amp; EFCG Key Financials Survey</v>
      </c>
      <c r="D2" s="3"/>
      <c r="E2" s="4"/>
      <c r="F2" s="4"/>
      <c r="G2" s="4"/>
      <c r="H2" s="4"/>
      <c r="I2" s="4"/>
      <c r="J2" s="4"/>
      <c r="K2" s="4"/>
      <c r="L2" s="4"/>
      <c r="M2" s="4"/>
      <c r="N2" s="4"/>
    </row>
    <row r="3" spans="3:14" x14ac:dyDescent="0.25">
      <c r="C3" s="1"/>
      <c r="D3" s="1"/>
      <c r="E3" s="1"/>
      <c r="F3" s="1"/>
      <c r="G3" s="1"/>
      <c r="H3" s="1"/>
      <c r="I3" s="1"/>
      <c r="J3" s="1"/>
      <c r="K3" s="1"/>
      <c r="L3" s="1"/>
      <c r="M3" s="1"/>
      <c r="N3" s="1"/>
    </row>
    <row r="4" spans="3:14" x14ac:dyDescent="0.25"/>
    <row r="5" spans="3:14" x14ac:dyDescent="0.25"/>
    <row r="6" spans="3:14" x14ac:dyDescent="0.25"/>
    <row r="7" spans="3:14" x14ac:dyDescent="0.25"/>
    <row r="8" spans="3:14" x14ac:dyDescent="0.25"/>
    <row r="9" spans="3:14" x14ac:dyDescent="0.25"/>
    <row r="10" spans="3:14" x14ac:dyDescent="0.25"/>
    <row r="11" spans="3:14" x14ac:dyDescent="0.25"/>
    <row r="12" spans="3:14" x14ac:dyDescent="0.25"/>
    <row r="13" spans="3:14" x14ac:dyDescent="0.25"/>
    <row r="14" spans="3:14" x14ac:dyDescent="0.25"/>
    <row r="15" spans="3:14" x14ac:dyDescent="0.25"/>
    <row r="16" spans="3:14" x14ac:dyDescent="0.25"/>
    <row r="17" spans="2:17" x14ac:dyDescent="0.25"/>
    <row r="18" spans="2:17" x14ac:dyDescent="0.25"/>
    <row r="19" spans="2:17" x14ac:dyDescent="0.25"/>
    <row r="20" spans="2:17" x14ac:dyDescent="0.25"/>
    <row r="21" spans="2:17" x14ac:dyDescent="0.25"/>
    <row r="22" spans="2:17" x14ac:dyDescent="0.25"/>
    <row r="23" spans="2:17" x14ac:dyDescent="0.25"/>
    <row r="24" spans="2:17" ht="21" x14ac:dyDescent="0.35">
      <c r="C24" s="18" t="str">
        <f>_xlfn.CONCAT("Thank you for filling out the ", TEXT(2025, "0000"), " ACEC &amp; EFCG Key Financials Survey!")</f>
        <v>Thank you for filling out the 2025 ACEC &amp; EFCG Key Financials Survey!</v>
      </c>
      <c r="D24" s="19"/>
      <c r="E24" s="19"/>
      <c r="F24" s="19"/>
      <c r="G24" s="19"/>
      <c r="H24" s="19"/>
      <c r="I24" s="19"/>
      <c r="J24" s="19"/>
      <c r="K24" s="19"/>
      <c r="L24" s="19"/>
      <c r="M24" s="19"/>
      <c r="N24" s="19"/>
    </row>
    <row r="25" spans="2:17" ht="21" x14ac:dyDescent="0.35">
      <c r="C25" s="18" t="s">
        <v>1103</v>
      </c>
      <c r="D25" s="19"/>
      <c r="E25" s="19"/>
      <c r="F25" s="19"/>
      <c r="G25" s="19"/>
      <c r="H25" s="19"/>
      <c r="I25" s="19"/>
      <c r="J25" s="19"/>
      <c r="K25" s="19"/>
      <c r="L25" s="19"/>
      <c r="M25" s="19"/>
      <c r="N25" s="19"/>
    </row>
    <row r="26" spans="2:17" ht="21" x14ac:dyDescent="0.35">
      <c r="C26" s="339" t="s">
        <v>1498</v>
      </c>
      <c r="D26" s="19"/>
      <c r="E26" s="19"/>
      <c r="F26" s="19"/>
      <c r="G26" s="19"/>
      <c r="H26" s="19"/>
      <c r="I26" s="19"/>
      <c r="J26" s="19"/>
      <c r="K26" s="19"/>
      <c r="L26" s="19"/>
      <c r="M26" s="19"/>
      <c r="N26" s="19"/>
    </row>
    <row r="27" spans="2:17" ht="9.9499999999999993" customHeight="1" x14ac:dyDescent="0.35">
      <c r="C27" s="18"/>
      <c r="D27" s="19"/>
      <c r="E27" s="19"/>
      <c r="F27" s="19"/>
      <c r="G27" s="19"/>
      <c r="H27" s="19"/>
      <c r="I27" s="19"/>
      <c r="J27" s="19"/>
      <c r="K27" s="19"/>
      <c r="L27" s="19"/>
      <c r="M27" s="19"/>
      <c r="N27" s="19"/>
    </row>
    <row r="28" spans="2:17" s="1" customFormat="1" ht="2.1" customHeight="1" x14ac:dyDescent="0.3">
      <c r="B28" s="375"/>
      <c r="C28" s="5"/>
      <c r="D28" s="6"/>
      <c r="E28" s="6"/>
      <c r="F28" s="6"/>
      <c r="G28" s="6"/>
      <c r="H28" s="6"/>
      <c r="I28" s="6"/>
      <c r="J28" s="6"/>
      <c r="K28" s="6"/>
      <c r="L28" s="6"/>
      <c r="M28" s="6"/>
      <c r="N28" s="6"/>
      <c r="O28"/>
      <c r="P28"/>
      <c r="Q28"/>
    </row>
    <row r="29" spans="2:17" ht="9.9499999999999993" customHeight="1" x14ac:dyDescent="0.25"/>
    <row r="30" spans="2:17" ht="23.25" x14ac:dyDescent="0.35">
      <c r="C30" s="20" t="s">
        <v>710</v>
      </c>
      <c r="D30" s="19"/>
      <c r="E30" s="19"/>
      <c r="F30" s="19"/>
      <c r="G30" s="19"/>
      <c r="H30" s="19"/>
      <c r="I30" s="19"/>
      <c r="J30" s="19"/>
      <c r="K30" s="19"/>
      <c r="L30" s="19"/>
      <c r="M30" s="19"/>
      <c r="N30" s="19"/>
    </row>
    <row r="31" spans="2:17" x14ac:dyDescent="0.25"/>
    <row r="32" spans="2:17" s="23" customFormat="1" ht="18.75" x14ac:dyDescent="0.3">
      <c r="D32" s="47" t="s">
        <v>711</v>
      </c>
      <c r="E32" s="22" t="s">
        <v>712</v>
      </c>
      <c r="O32"/>
      <c r="P32"/>
      <c r="Q32"/>
    </row>
    <row r="33" spans="4:17" s="23" customFormat="1" ht="9.9499999999999993" customHeight="1" x14ac:dyDescent="0.3">
      <c r="D33" s="48"/>
      <c r="O33"/>
      <c r="P33"/>
      <c r="Q33"/>
    </row>
    <row r="34" spans="4:17" s="23" customFormat="1" ht="18.75" x14ac:dyDescent="0.3">
      <c r="D34" s="48"/>
      <c r="F34" s="450" t="s">
        <v>489</v>
      </c>
      <c r="G34" s="451"/>
      <c r="H34" s="24" t="s">
        <v>855</v>
      </c>
      <c r="O34"/>
      <c r="P34"/>
      <c r="Q34"/>
    </row>
    <row r="35" spans="4:17" s="23" customFormat="1" ht="9.9499999999999993" customHeight="1" x14ac:dyDescent="0.3">
      <c r="D35" s="48"/>
      <c r="O35"/>
      <c r="P35"/>
      <c r="Q35"/>
    </row>
    <row r="36" spans="4:17" s="23" customFormat="1" ht="18.75" customHeight="1" x14ac:dyDescent="0.3">
      <c r="D36" s="48"/>
      <c r="F36" s="452" t="s">
        <v>713</v>
      </c>
      <c r="G36" s="453"/>
      <c r="H36" s="24" t="s">
        <v>853</v>
      </c>
      <c r="O36"/>
      <c r="P36"/>
      <c r="Q36"/>
    </row>
    <row r="37" spans="4:17" s="23" customFormat="1" ht="18.75" customHeight="1" x14ac:dyDescent="0.3">
      <c r="D37" s="48"/>
      <c r="F37"/>
      <c r="G37"/>
      <c r="H37" s="24" t="s">
        <v>1028</v>
      </c>
      <c r="O37"/>
      <c r="P37"/>
      <c r="Q37"/>
    </row>
    <row r="38" spans="4:17" s="23" customFormat="1" ht="9.9499999999999993" customHeight="1" x14ac:dyDescent="0.3">
      <c r="D38" s="48"/>
      <c r="O38"/>
      <c r="P38"/>
      <c r="Q38"/>
    </row>
    <row r="39" spans="4:17" s="23" customFormat="1" ht="18.75" x14ac:dyDescent="0.3">
      <c r="D39" s="48"/>
      <c r="F39" s="454" t="s">
        <v>714</v>
      </c>
      <c r="G39" s="455"/>
      <c r="H39" s="24" t="s">
        <v>715</v>
      </c>
      <c r="O39"/>
      <c r="P39"/>
      <c r="Q39"/>
    </row>
    <row r="40" spans="4:17" ht="9.9499999999999993" customHeight="1" x14ac:dyDescent="0.25"/>
    <row r="41" spans="4:17" s="23" customFormat="1" ht="18.75" x14ac:dyDescent="0.3">
      <c r="D41" s="48"/>
      <c r="F41" s="456" t="s">
        <v>716</v>
      </c>
      <c r="G41" s="457"/>
      <c r="H41" s="24" t="s">
        <v>717</v>
      </c>
      <c r="O41"/>
      <c r="P41"/>
      <c r="Q41"/>
    </row>
    <row r="42" spans="4:17" s="23" customFormat="1" ht="18.75" x14ac:dyDescent="0.3">
      <c r="D42" s="48"/>
      <c r="O42"/>
      <c r="P42"/>
      <c r="Q42"/>
    </row>
    <row r="43" spans="4:17" s="23" customFormat="1" ht="18.75" x14ac:dyDescent="0.3">
      <c r="D43" s="48"/>
      <c r="E43" s="23" t="s">
        <v>1032</v>
      </c>
      <c r="O43"/>
      <c r="P43"/>
      <c r="Q43"/>
    </row>
    <row r="44" spans="4:17" s="23" customFormat="1" ht="18.75" x14ac:dyDescent="0.3">
      <c r="D44" s="48"/>
      <c r="O44"/>
      <c r="P44"/>
      <c r="Q44"/>
    </row>
    <row r="45" spans="4:17" s="23" customFormat="1" ht="18.75" x14ac:dyDescent="0.3">
      <c r="D45" s="47" t="s">
        <v>718</v>
      </c>
      <c r="E45" s="23" t="s">
        <v>854</v>
      </c>
      <c r="O45"/>
      <c r="P45"/>
      <c r="Q45"/>
    </row>
    <row r="46" spans="4:17" ht="18.75" x14ac:dyDescent="0.3">
      <c r="D46" s="48"/>
    </row>
    <row r="47" spans="4:17" ht="18.75" x14ac:dyDescent="0.3">
      <c r="D47" s="47" t="s">
        <v>719</v>
      </c>
      <c r="E47" s="23" t="s">
        <v>918</v>
      </c>
    </row>
    <row r="48" spans="4:17" ht="18.75" x14ac:dyDescent="0.3">
      <c r="D48" s="7"/>
      <c r="E48" s="23" t="s">
        <v>777</v>
      </c>
    </row>
    <row r="49" spans="4:5" ht="5.0999999999999996" customHeight="1" x14ac:dyDescent="0.3">
      <c r="D49" s="48"/>
    </row>
    <row r="50" spans="4:5" ht="18.75" x14ac:dyDescent="0.3">
      <c r="D50" s="7"/>
      <c r="E50" s="23" t="s">
        <v>778</v>
      </c>
    </row>
    <row r="51" spans="4:5" ht="18.75" x14ac:dyDescent="0.3">
      <c r="D51" s="7"/>
      <c r="E51" s="23" t="s">
        <v>779</v>
      </c>
    </row>
    <row r="52" spans="4:5" ht="18.75" x14ac:dyDescent="0.3">
      <c r="D52" s="48"/>
    </row>
    <row r="53" spans="4:5" ht="18.75" x14ac:dyDescent="0.3">
      <c r="D53" s="47" t="s">
        <v>720</v>
      </c>
      <c r="E53" s="23" t="s">
        <v>1029</v>
      </c>
    </row>
    <row r="54" spans="4:5" ht="18.75" x14ac:dyDescent="0.3">
      <c r="D54" s="7"/>
      <c r="E54" s="23" t="s">
        <v>1030</v>
      </c>
    </row>
    <row r="55" spans="4:5" ht="18.75" x14ac:dyDescent="0.3">
      <c r="D55" s="7"/>
      <c r="E55" s="22" t="s">
        <v>1031</v>
      </c>
    </row>
    <row r="56" spans="4:5" ht="18.75" x14ac:dyDescent="0.3">
      <c r="D56" s="7"/>
      <c r="E56" s="22"/>
    </row>
    <row r="57" spans="4:5" ht="18.75" x14ac:dyDescent="0.3">
      <c r="D57" s="47" t="s">
        <v>721</v>
      </c>
      <c r="E57" s="23" t="s">
        <v>780</v>
      </c>
    </row>
    <row r="58" spans="4:5" ht="18.75" customHeight="1" x14ac:dyDescent="0.3">
      <c r="D58" s="21"/>
      <c r="E58" s="22" t="s">
        <v>781</v>
      </c>
    </row>
    <row r="59" spans="4:5" x14ac:dyDescent="0.25"/>
    <row r="60" spans="4:5" x14ac:dyDescent="0.25"/>
    <row r="61" spans="4:5" x14ac:dyDescent="0.25"/>
  </sheetData>
  <sheetProtection algorithmName="SHA-512" hashValue="iZLjppQHMgFn6I01KhQgIRRWYC2P9V3AneqL5x4nM36hDVv2OycvxzHXfBwa+jfXiygmv+WBgeXpoSf3QI7mMQ==" saltValue="Bz/ljSNt3Ev+HHZfiGBB/A==" spinCount="100000" sheet="1" objects="1" scenarios="1"/>
  <mergeCells count="4">
    <mergeCell ref="F34:G34"/>
    <mergeCell ref="F36:G36"/>
    <mergeCell ref="F39:G39"/>
    <mergeCell ref="F41:G41"/>
  </mergeCells>
  <pageMargins left="0.7" right="0.7" top="0.75" bottom="0.75" header="0.3" footer="0.3"/>
  <pageSetup scale="48" fitToHeight="0" orientation="portrait" r:id="rId1"/>
  <headerFooter>
    <oddHeader>&amp;C&amp;12 2025 ACEC &amp; EFCG A/E/C Confidential Key Financials Survey - &amp;A</oddHeader>
    <oddFooter>&amp;L&amp;10© Environmental Financial Consulting Group, LLC – All Rights Reserved – Confidential survey for selected recipients only.
Not for further distribution, display, or reproduction.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6139-4928-48EF-8F37-74A4DC6D9E71}">
  <sheetPr codeName="Sheet111">
    <tabColor theme="7" tint="0.39997558519241921"/>
  </sheetPr>
  <dimension ref="A1:T51"/>
  <sheetViews>
    <sheetView zoomScale="70" zoomScaleNormal="70" workbookViewId="0"/>
  </sheetViews>
  <sheetFormatPr defaultColWidth="0" defaultRowHeight="15" zeroHeight="1" x14ac:dyDescent="0.25"/>
  <cols>
    <col min="1" max="1" width="24.140625" bestFit="1" customWidth="1"/>
    <col min="2" max="2" width="2.85546875" customWidth="1"/>
    <col min="3" max="3" width="9.140625" customWidth="1"/>
    <col min="4" max="9" width="11" customWidth="1"/>
    <col min="10" max="11" width="9.140625" customWidth="1"/>
    <col min="12" max="12" width="16.42578125" bestFit="1" customWidth="1"/>
    <col min="13" max="13" width="16.140625" bestFit="1" customWidth="1"/>
    <col min="14" max="14" width="17.85546875" bestFit="1" customWidth="1"/>
    <col min="15" max="16" width="11" customWidth="1"/>
    <col min="17" max="17" width="16.140625" bestFit="1" customWidth="1"/>
    <col min="18" max="19" width="11" customWidth="1"/>
    <col min="20" max="20" width="2.85546875" customWidth="1"/>
    <col min="21" max="16384" width="9.140625" hidden="1"/>
  </cols>
  <sheetData>
    <row r="1" spans="1:3" s="27" customFormat="1" x14ac:dyDescent="0.25">
      <c r="A1" s="26" t="str">
        <f ca="1">_xlfn.CONCAT(MID(CELL("filename"),SEARCH("[",CELL("filename"))+1, SEARCH("]",CELL("filename"))-SEARCH("[",CELL("filename"))-6), " - ", MID(CELL("filename",A1),FIND("]",CELL("filename",A1))+1,255))</f>
        <v>2025 ACEC-EFCG Key Financials Survey Form - BLANK (Unlocked) - Survey Backend &gt;&gt;</v>
      </c>
    </row>
    <row r="2" spans="1:3" x14ac:dyDescent="0.25"/>
    <row r="3" spans="1:3" s="10" customFormat="1" x14ac:dyDescent="0.25">
      <c r="A3" s="15" t="s">
        <v>682</v>
      </c>
    </row>
    <row r="4" spans="1:3" x14ac:dyDescent="0.25">
      <c r="A4" t="s">
        <v>684</v>
      </c>
    </row>
    <row r="5" spans="1:3" x14ac:dyDescent="0.25">
      <c r="A5" s="13" t="s">
        <v>685</v>
      </c>
    </row>
    <row r="6" spans="1:3" x14ac:dyDescent="0.25">
      <c r="A6" s="13" t="s">
        <v>686</v>
      </c>
    </row>
    <row r="7" spans="1:3" x14ac:dyDescent="0.25">
      <c r="A7" s="13"/>
    </row>
    <row r="8" spans="1:3" x14ac:dyDescent="0.25">
      <c r="A8" s="14" t="s">
        <v>690</v>
      </c>
    </row>
    <row r="9" spans="1:3" x14ac:dyDescent="0.25">
      <c r="A9" s="9"/>
    </row>
    <row r="10" spans="1:3" s="10" customFormat="1" x14ac:dyDescent="0.25">
      <c r="A10" s="15" t="s">
        <v>683</v>
      </c>
      <c r="B10" s="15"/>
    </row>
    <row r="11" spans="1:3" x14ac:dyDescent="0.25"/>
    <row r="12" spans="1:3" ht="15" customHeight="1" x14ac:dyDescent="0.25">
      <c r="A12" s="25" t="s">
        <v>823</v>
      </c>
      <c r="B12" s="11"/>
      <c r="C12" t="s">
        <v>833</v>
      </c>
    </row>
    <row r="13" spans="1:3" ht="15" customHeight="1" x14ac:dyDescent="0.25"/>
    <row r="14" spans="1:3" ht="15" customHeight="1" x14ac:dyDescent="0.25">
      <c r="A14" s="25" t="s">
        <v>764</v>
      </c>
      <c r="B14" s="11"/>
      <c r="C14" t="s">
        <v>835</v>
      </c>
    </row>
    <row r="15" spans="1:3" ht="15" customHeight="1" x14ac:dyDescent="0.25"/>
    <row r="16" spans="1:3" ht="15" customHeight="1" x14ac:dyDescent="0.25">
      <c r="A16" s="25" t="s">
        <v>725</v>
      </c>
      <c r="B16" s="11"/>
      <c r="C16" t="s">
        <v>726</v>
      </c>
    </row>
    <row r="17" spans="1:3" ht="15" customHeight="1" x14ac:dyDescent="0.25"/>
    <row r="18" spans="1:3" ht="15" customHeight="1" x14ac:dyDescent="0.25">
      <c r="A18" s="12" t="s">
        <v>687</v>
      </c>
      <c r="B18" s="11"/>
      <c r="C18" t="s">
        <v>689</v>
      </c>
    </row>
    <row r="19" spans="1:3" ht="15" customHeight="1" x14ac:dyDescent="0.25"/>
    <row r="20" spans="1:3" ht="15" customHeight="1" x14ac:dyDescent="0.25">
      <c r="A20" s="12" t="s">
        <v>688</v>
      </c>
      <c r="C20" t="s">
        <v>834</v>
      </c>
    </row>
    <row r="21" spans="1:3" ht="15" customHeight="1" x14ac:dyDescent="0.25"/>
    <row r="22" spans="1:3" ht="15" customHeight="1" x14ac:dyDescent="0.25"/>
    <row r="23" spans="1:3" ht="15" customHeight="1" x14ac:dyDescent="0.25"/>
    <row r="24" spans="1:3" ht="15" customHeight="1" x14ac:dyDescent="0.25"/>
    <row r="25" spans="1:3" ht="15" customHeight="1" x14ac:dyDescent="0.25"/>
    <row r="26" spans="1:3" ht="15" customHeight="1" x14ac:dyDescent="0.25"/>
    <row r="27" spans="1:3" ht="15" customHeight="1" x14ac:dyDescent="0.25"/>
    <row r="28" spans="1:3" ht="15" customHeight="1" x14ac:dyDescent="0.25"/>
    <row r="29" spans="1:3" ht="15" customHeight="1" x14ac:dyDescent="0.25"/>
    <row r="30" spans="1:3" ht="15" customHeight="1" x14ac:dyDescent="0.25"/>
    <row r="31" spans="1:3" ht="15" customHeight="1" x14ac:dyDescent="0.25"/>
    <row r="32" spans="1: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x14ac:dyDescent="0.25"/>
    <row r="48" x14ac:dyDescent="0.25"/>
    <row r="49" x14ac:dyDescent="0.25"/>
    <row r="50" x14ac:dyDescent="0.25"/>
    <row r="5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820B-17C2-49FF-9ED5-8C4B86DD299D}">
  <sheetPr codeName="Sheet121">
    <tabColor theme="7" tint="0.59999389629810485"/>
  </sheetPr>
  <dimension ref="A1:C1435"/>
  <sheetViews>
    <sheetView topLeftCell="A34" zoomScale="70" zoomScaleNormal="70" workbookViewId="0">
      <pane ySplit="7" topLeftCell="A41" activePane="bottomLeft" state="frozen"/>
      <selection activeCell="A34" sqref="A34"/>
      <selection pane="bottomLeft" activeCell="D41" sqref="D41:D731"/>
    </sheetView>
  </sheetViews>
  <sheetFormatPr defaultColWidth="9.140625" defaultRowHeight="15" zeroHeight="1" x14ac:dyDescent="0.25"/>
  <cols>
    <col min="1" max="1" width="6.140625" style="36" bestFit="1" customWidth="1"/>
    <col min="2" max="2" width="16.5703125" style="36" customWidth="1"/>
    <col min="3" max="3" width="50.85546875" style="36" bestFit="1" customWidth="1"/>
    <col min="4" max="4" width="20.42578125" style="36" bestFit="1" customWidth="1"/>
    <col min="5" max="5" width="46.140625" style="36" bestFit="1" customWidth="1"/>
    <col min="6" max="6" width="38.140625" style="36" bestFit="1" customWidth="1"/>
    <col min="7" max="7" width="51.7109375" style="36" customWidth="1"/>
    <col min="8" max="8" width="15.85546875" style="36" customWidth="1"/>
    <col min="9" max="9" width="72" style="36" customWidth="1"/>
    <col min="10" max="10" width="15" style="36" customWidth="1"/>
    <col min="11" max="11" width="24.42578125" style="36" customWidth="1"/>
    <col min="12" max="12" width="20.42578125" style="36" customWidth="1"/>
    <col min="13" max="13" width="15.85546875" style="36" customWidth="1"/>
    <col min="14" max="15" width="9.140625" style="36"/>
    <col min="16" max="16" width="15.140625" style="36" bestFit="1" customWidth="1"/>
    <col min="17" max="16384" width="9.140625" style="36"/>
  </cols>
  <sheetData>
    <row r="1" spans="1:1" s="33" customFormat="1" x14ac:dyDescent="0.25">
      <c r="A1" s="32" t="str">
        <f ca="1">_xlfn.CONCAT(MID(CELL("filename"),SEARCH("[",CELL("filename"))+1, SEARCH("]",CELL("filename"))-SEARCH("[",CELL("filename"))-6), " - ", MID(CELL("filename",A1),FIND("]",CELL("filename",A1))+1,255))</f>
        <v>2025 ACEC-EFCG Key Financials Survey Form - BLANK (Unlocked) - DB_Mapping</v>
      </c>
    </row>
    <row r="2" spans="1:1" x14ac:dyDescent="0.25"/>
    <row r="3" spans="1:1" s="35" customFormat="1" x14ac:dyDescent="0.25">
      <c r="A3" s="34" t="s">
        <v>682</v>
      </c>
    </row>
    <row r="4" spans="1:1" x14ac:dyDescent="0.25">
      <c r="A4" s="36" t="s">
        <v>818</v>
      </c>
    </row>
    <row r="5" spans="1:1" x14ac:dyDescent="0.25">
      <c r="A5" s="36" t="s">
        <v>691</v>
      </c>
    </row>
    <row r="6" spans="1:1" x14ac:dyDescent="0.25"/>
    <row r="7" spans="1:1" x14ac:dyDescent="0.25">
      <c r="A7" s="37" t="s">
        <v>692</v>
      </c>
    </row>
    <row r="8" spans="1:1" x14ac:dyDescent="0.25">
      <c r="A8" s="38" t="s">
        <v>728</v>
      </c>
    </row>
    <row r="9" spans="1:1" x14ac:dyDescent="0.25">
      <c r="A9" s="38" t="s">
        <v>694</v>
      </c>
    </row>
    <row r="10" spans="1:1" x14ac:dyDescent="0.25">
      <c r="A10" s="38" t="s">
        <v>822</v>
      </c>
    </row>
    <row r="11" spans="1:1" x14ac:dyDescent="0.25"/>
    <row r="12" spans="1:1" x14ac:dyDescent="0.25">
      <c r="A12" s="39" t="s">
        <v>724</v>
      </c>
    </row>
    <row r="13" spans="1:1" x14ac:dyDescent="0.25"/>
    <row r="14" spans="1:1" s="35" customFormat="1" x14ac:dyDescent="0.25">
      <c r="A14" s="34" t="s">
        <v>461</v>
      </c>
    </row>
    <row r="15" spans="1:1" x14ac:dyDescent="0.25"/>
    <row r="16" spans="1:1" s="40" customFormat="1" x14ac:dyDescent="0.25">
      <c r="A16" s="40" t="s">
        <v>693</v>
      </c>
    </row>
    <row r="17" spans="1:1" x14ac:dyDescent="0.25">
      <c r="A17" s="36" t="s">
        <v>696</v>
      </c>
    </row>
    <row r="18" spans="1:1" x14ac:dyDescent="0.25">
      <c r="A18" s="38" t="s">
        <v>697</v>
      </c>
    </row>
    <row r="19" spans="1:1" x14ac:dyDescent="0.25">
      <c r="A19" s="38" t="s">
        <v>698</v>
      </c>
    </row>
    <row r="20" spans="1:1" x14ac:dyDescent="0.25">
      <c r="A20" s="38" t="s">
        <v>699</v>
      </c>
    </row>
    <row r="21" spans="1:1" x14ac:dyDescent="0.25">
      <c r="A21" s="38" t="s">
        <v>754</v>
      </c>
    </row>
    <row r="22" spans="1:1" x14ac:dyDescent="0.25">
      <c r="A22" s="38" t="s">
        <v>755</v>
      </c>
    </row>
    <row r="23" spans="1:1" x14ac:dyDescent="0.25">
      <c r="A23" s="38" t="s">
        <v>971</v>
      </c>
    </row>
    <row r="24" spans="1:1" x14ac:dyDescent="0.25"/>
    <row r="25" spans="1:1" s="40" customFormat="1" x14ac:dyDescent="0.25">
      <c r="A25" s="40" t="s">
        <v>701</v>
      </c>
    </row>
    <row r="26" spans="1:1" x14ac:dyDescent="0.25">
      <c r="A26" s="36" t="s">
        <v>709</v>
      </c>
    </row>
    <row r="27" spans="1:1" x14ac:dyDescent="0.25">
      <c r="A27" s="36" t="s">
        <v>702</v>
      </c>
    </row>
    <row r="28" spans="1:1" x14ac:dyDescent="0.25">
      <c r="A28" s="36" t="s">
        <v>703</v>
      </c>
    </row>
    <row r="29" spans="1:1" x14ac:dyDescent="0.25"/>
    <row r="30" spans="1:1" s="40" customFormat="1" x14ac:dyDescent="0.25">
      <c r="A30" s="40" t="s">
        <v>704</v>
      </c>
    </row>
    <row r="31" spans="1:1" x14ac:dyDescent="0.25">
      <c r="A31" s="36" t="s">
        <v>819</v>
      </c>
    </row>
    <row r="32" spans="1:1" x14ac:dyDescent="0.25">
      <c r="A32" s="36" t="s">
        <v>705</v>
      </c>
    </row>
    <row r="33" spans="1:3" x14ac:dyDescent="0.25">
      <c r="A33" s="38" t="s">
        <v>820</v>
      </c>
    </row>
    <row r="34" spans="1:3" x14ac:dyDescent="0.25">
      <c r="A34" s="38" t="s">
        <v>821</v>
      </c>
    </row>
    <row r="35" spans="1:3" x14ac:dyDescent="0.25">
      <c r="A35" s="38" t="s">
        <v>706</v>
      </c>
    </row>
    <row r="36" spans="1:3" x14ac:dyDescent="0.25">
      <c r="A36" s="38" t="s">
        <v>708</v>
      </c>
    </row>
    <row r="37" spans="1:3" x14ac:dyDescent="0.25"/>
    <row r="38" spans="1:3" s="42" customFormat="1" x14ac:dyDescent="0.25">
      <c r="A38" s="41" t="s">
        <v>695</v>
      </c>
    </row>
    <row r="39" spans="1:3" x14ac:dyDescent="0.25"/>
    <row r="40" spans="1:3" x14ac:dyDescent="0.25">
      <c r="A40" s="36" t="s">
        <v>59</v>
      </c>
      <c r="B40" s="36" t="s">
        <v>592</v>
      </c>
      <c r="C40" s="43" t="s">
        <v>615</v>
      </c>
    </row>
    <row r="41" spans="1:3" x14ac:dyDescent="0.25">
      <c r="A41" s="374">
        <v>0</v>
      </c>
      <c r="B41" s="44" t="s">
        <v>206</v>
      </c>
      <c r="C41" s="44" t="s">
        <v>836</v>
      </c>
    </row>
    <row r="42" spans="1:3" x14ac:dyDescent="0.25">
      <c r="A42" s="374">
        <v>17</v>
      </c>
      <c r="B42" s="44" t="s">
        <v>206</v>
      </c>
      <c r="C42" s="44" t="s">
        <v>836</v>
      </c>
    </row>
    <row r="43" spans="1:3" x14ac:dyDescent="0.25">
      <c r="A43" s="374">
        <v>1</v>
      </c>
      <c r="B43" s="44" t="s">
        <v>206</v>
      </c>
      <c r="C43" s="44" t="s">
        <v>836</v>
      </c>
    </row>
    <row r="44" spans="1:3" x14ac:dyDescent="0.25">
      <c r="A44" s="374">
        <v>2</v>
      </c>
      <c r="B44" s="44" t="str">
        <f ca="1">CELL("address", 'Key Financials'!F6)</f>
        <v>'[2025 ACEC-EFCG Key Financials Survey Form - BLANK (Unlocked).xlsx]Key Financials'!$F$6</v>
      </c>
      <c r="C44" s="8" t="str">
        <f ca="1">IF(INDIRECT(DB_Map[[#This Row],[Location]])&lt;&gt;"", INDIRECT(DB_Map[[#This Row],[Location]]), "")</f>
        <v/>
      </c>
    </row>
    <row r="45" spans="1:3" x14ac:dyDescent="0.25">
      <c r="A45" s="374">
        <v>3</v>
      </c>
      <c r="B45" s="44" t="s">
        <v>206</v>
      </c>
      <c r="C45" s="44" t="s">
        <v>836</v>
      </c>
    </row>
    <row r="46" spans="1:3" x14ac:dyDescent="0.25">
      <c r="A46" s="374">
        <v>4</v>
      </c>
      <c r="B46" s="44" t="str">
        <f ca="1">CELL("address", 'Key Financials'!J6)</f>
        <v>'[2025 ACEC-EFCG Key Financials Survey Form - BLANK (Unlocked).xlsx]Key Financials'!$J$6</v>
      </c>
      <c r="C46" s="8" t="str">
        <f ca="1">IF(INDIRECT(DB_Map[[#This Row],[Location]])&lt;&gt;"", INDIRECT(DB_Map[[#This Row],[Location]]), "")</f>
        <v/>
      </c>
    </row>
    <row r="47" spans="1:3" x14ac:dyDescent="0.25">
      <c r="A47" s="374">
        <v>5</v>
      </c>
      <c r="B47" s="44" t="str">
        <f ca="1">CELL("address", 'Key Financials'!J8)</f>
        <v>'[2025 ACEC-EFCG Key Financials Survey Form - BLANK (Unlocked).xlsx]Key Financials'!$J$8</v>
      </c>
      <c r="C47" s="8" t="str">
        <f ca="1">IF(INDEX(DB_Map[Survey Form Value], MATCH(4, DB_Map[ID], 0))="United States",
        IF(INDIRECT(DB_Map[[#This Row],[Location]])&lt;&gt;"", INDIRECT(DB_Map[[#This Row],[Location]]), ""), "")</f>
        <v/>
      </c>
    </row>
    <row r="48" spans="1:3" x14ac:dyDescent="0.25">
      <c r="A48" s="374">
        <v>10</v>
      </c>
      <c r="B48" s="44" t="str">
        <f ca="1">CELL("address", _Currency)</f>
        <v>'[2025 ACEC-EFCG Key Financials Survey Form - BLANK (Unlocked).xlsx]Key Financials'!$F$8</v>
      </c>
      <c r="C48" s="8" t="str">
        <f ca="1">IF(INDIRECT(DB_Map[[#This Row],[Location]])&lt;&gt;"", INDIRECT(DB_Map[[#This Row],[Location]]), "")</f>
        <v/>
      </c>
    </row>
    <row r="49" spans="1:3" x14ac:dyDescent="0.25">
      <c r="A49" s="374">
        <v>11</v>
      </c>
      <c r="B49" s="44" t="s">
        <v>206</v>
      </c>
      <c r="C49" s="8" t="str">
        <f ca="1">IF(INDEX(DB_Map[Survey Form Value], MATCH(10, DB_Map[ID], 0)) &lt;&gt; "",
         INDEX(Exchange_Rates_Import[], MATCH(INDEX(DB_Map[Survey Form Value], MATCH(10, DB_Map[ID], 0)), Exchange_Rates_Import[Currency], 0),
                                                                    MATCH(IF(TRUE,TEXT(2025,"0000"),
                                                                                                                               TEXT(2025,"0000")),
                                                                                            Exchange_Rates_Import[#Headers], 0)), "")</f>
        <v/>
      </c>
    </row>
    <row r="50" spans="1:3" x14ac:dyDescent="0.25">
      <c r="A50" s="374">
        <v>12</v>
      </c>
      <c r="B50" s="44" t="str">
        <f ca="1">CELL("address", 'Key Financials'!F10)</f>
        <v>'[2025 ACEC-EFCG Key Financials Survey Form - BLANK (Unlocked).xlsx]Key Financials'!$F$10</v>
      </c>
      <c r="C50" s="8" t="str">
        <f ca="1">IF(INDIRECT(DB_Map[[#This Row],[Location]])&lt;&gt;"",
              _xlfn.SWITCH(INDIRECT(DB_Map[[#This Row],[Location]]), "January", "February",
                                                                                  "February", "March",
                                                                                  "March", "April",
                                                                                  "April", "May",
                                                                                  "May", "June",
                                                                                  "June", "July",
                                                                                  "July", "August",
                                                                                  "August", "September",
                                                                                  "September", "October",
                                                                                  "October", "November",
                                                                                  "November", "December",
                                                                                  "December", "January"), "")</f>
        <v/>
      </c>
    </row>
    <row r="51" spans="1:3" x14ac:dyDescent="0.25">
      <c r="A51" s="374">
        <v>6</v>
      </c>
      <c r="B51" s="44" t="str">
        <f ca="1">CELL("address", 'Key Financials'!F12)</f>
        <v>'[2025 ACEC-EFCG Key Financials Survey Form - BLANK (Unlocked).xlsx]Key Financials'!$F$12</v>
      </c>
      <c r="C51" s="8" t="str">
        <f ca="1">IF(INDIRECT(DB_Map[[#This Row],[Location]])&lt;&gt;"", INDIRECT(DB_Map[[#This Row],[Location]]), "")</f>
        <v/>
      </c>
    </row>
    <row r="52" spans="1:3" x14ac:dyDescent="0.25">
      <c r="A52" s="374">
        <v>8</v>
      </c>
      <c r="B52" s="44" t="str">
        <f ca="1">CELL("address", 'Key Financials'!H12)</f>
        <v>'[2025 ACEC-EFCG Key Financials Survey Form - BLANK (Unlocked).xlsx]Key Financials'!$H$12</v>
      </c>
      <c r="C52" s="8" t="str">
        <f ca="1">IF(INDEX(DB_Map[Survey Form Value], MATCH(6, DB_Map[ID], 0)) = "Private", IF(INDIRECT(DB_Map[[#This Row],[Location]])&lt;&gt;"", INDIRECT(DB_Map[[#This Row],[Location]]), ""), "")</f>
        <v/>
      </c>
    </row>
    <row r="53" spans="1:3" x14ac:dyDescent="0.25">
      <c r="A53" s="374">
        <v>9</v>
      </c>
      <c r="B53" s="44" t="str">
        <f ca="1">CELL("address", _ESOP?)</f>
        <v>'[2025 ACEC-EFCG Key Financials Survey Form - BLANK (Unlocked).xlsx]Key Financials'!$M$12</v>
      </c>
      <c r="C53" s="8" t="str">
        <f ca="1">IF(INDIRECT(DB_Map[[#This Row],[Location]])="Yes", TRUE, IF(INDIRECT(DB_Map[[#This Row],[Location]])="No", FALSE, ""))</f>
        <v/>
      </c>
    </row>
    <row r="54" spans="1:3" x14ac:dyDescent="0.25">
      <c r="A54" s="374">
        <v>14</v>
      </c>
      <c r="B54" s="44" t="str">
        <f ca="1">CELL("address", 'Key Financials'!F14)</f>
        <v>'[2025 ACEC-EFCG Key Financials Survey Form - BLANK (Unlocked).xlsx]Key Financials'!$F$14</v>
      </c>
      <c r="C54" s="8" t="str">
        <f ca="1">IF(INDIRECT(DB_Map[[#This Row],[Location]])&lt;&gt;"", INDIRECT(DB_Map[[#This Row],[Location]]), "")</f>
        <v/>
      </c>
    </row>
    <row r="55" spans="1:3" x14ac:dyDescent="0.25">
      <c r="A55" s="374">
        <v>15</v>
      </c>
      <c r="B55" s="44" t="str">
        <f ca="1">CELL("address", 'Key Financials'!H14)</f>
        <v>'[2025 ACEC-EFCG Key Financials Survey Form - BLANK (Unlocked).xlsx]Key Financials'!$H$14</v>
      </c>
      <c r="C55" s="8" t="str">
        <f ca="1">IF(INDIRECT(DB_Map[[#This Row],[Location]])&lt;&gt;"", INDIRECT(DB_Map[[#This Row],[Location]]), "")</f>
        <v/>
      </c>
    </row>
    <row r="56" spans="1:3" x14ac:dyDescent="0.25">
      <c r="A56" s="374">
        <v>13</v>
      </c>
      <c r="B56" s="44" t="str">
        <f ca="1">CELL("address", 'Key Financials'!H16)</f>
        <v>'[2025 ACEC-EFCG Key Financials Survey Form - BLANK (Unlocked).xlsx]Key Financials'!$H$16</v>
      </c>
      <c r="C56" s="8" t="str">
        <f ca="1">IF(INDIRECT(DB_Map[[#This Row],[Location]])&lt;&gt;"", INDIRECT(DB_Map[[#This Row],[Location]]), "")</f>
        <v/>
      </c>
    </row>
    <row r="57" spans="1:3" x14ac:dyDescent="0.25">
      <c r="A57" s="374">
        <v>643</v>
      </c>
      <c r="B57" s="44" t="str">
        <f ca="1">CELL("address", 'Key Financials'!E20)</f>
        <v>'[2025 ACEC-EFCG Key Financials Survey Form - BLANK (Unlocked).xlsx]Key Financials'!$E$20</v>
      </c>
      <c r="C57" s="8" t="str">
        <f ca="1">IF(ISNUMBER(INDEX(DB_Map[Survey Form Value], MATCH(18, DB_Map[ID], 0))),
          IF(INDEX(DB_Map[Survey Form Value], MATCH(11, DB_Map[ID], 0))*INDEX(DB_Map[Survey Form Value], MATCH(18, DB_Map[ID], 0))&lt;25, "Under $25M",
                 IF(AND(INDEX(DB_Map[Survey Form Value], MATCH(11, DB_Map[ID], 0))*INDEX(DB_Map[Survey Form Value], MATCH(18, DB_Map[ID], 0))&gt;=25,
                                 INDEX(DB_Map[Survey Form Value], MATCH(11, DB_Map[ID], 0))*INDEX(DB_Map[Survey Form Value], MATCH(18, DB_Map[ID], 0))&lt;50), "$25M-$50M",
                       IF(AND(INDEX(DB_Map[Survey Form Value], MATCH(11, DB_Map[ID], 0))*INDEX(DB_Map[Survey Form Value], MATCH(18, DB_Map[ID], 0))&gt;=50,
                                       INDEX(DB_Map[Survey Form Value], MATCH(11, DB_Map[ID], 0))*INDEX(DB_Map[Survey Form Value], MATCH(18, DB_Map[ID], 0))&lt;100), "$50M-$100M",
                               IF(AND(INDEX(DB_Map[Survey Form Value], MATCH(11, DB_Map[ID], 0))*INDEX(DB_Map[Survey Form Value], MATCH(18, DB_Map[ID], 0))&gt;=100,
                                               INDEX(DB_Map[Survey Form Value], MATCH(11, DB_Map[ID], 0))*INDEX(DB_Map[Survey Form Value], MATCH(18, DB_Map[ID], 0))&lt;250), "$100M-$250M",
                                      IF(AND(INDEX(DB_Map[Survey Form Value], MATCH(11, DB_Map[ID], 0))*INDEX(DB_Map[Survey Form Value], MATCH(18, DB_Map[ID], 0))&gt;=250,
                                                      INDEX(DB_Map[Survey Form Value], MATCH(11, DB_Map[ID], 0))*INDEX(DB_Map[Survey Form Value], MATCH(18, DB_Map[ID], 0))&lt;1000), "$250M-$1B",
                                           IF(AND(INDEX(DB_Map[Survey Form Value], MATCH(11, DB_Map[ID], 0))*INDEX(DB_Map[Survey Form Value], MATCH(18, DB_Map[ID], 0))&gt;=1000,
                                                           INDEX(DB_Map[Survey Form Value], MATCH(11, DB_Map[ID], 0))*INDEX(DB_Map[Survey Form Value], MATCH(18, DB_Map[ID], 0))&lt;5000), "$1B-$5B",
                                                  IF(INDEX(DB_Map[Survey Form Value], MATCH(11, DB_Map[ID], 0))*INDEX(DB_Map[Survey Form Value], MATCH(18, DB_Map[ID], 0))&gt;=5000, "Over $5B", NA()))))))), "")</f>
        <v/>
      </c>
    </row>
    <row r="58" spans="1:3" x14ac:dyDescent="0.25">
      <c r="A58" s="374">
        <v>18</v>
      </c>
      <c r="B58" s="44" t="str">
        <f ca="1">CELL("address", 'Key Financials'!K$24)</f>
        <v>'[2025 ACEC-EFCG Key Financials Survey Form - BLANK (Unlocked).xlsx]Key Financials'!$K$24</v>
      </c>
      <c r="C58" s="8" t="str">
        <f ca="1">IF(INDIRECT(DB_Map[[#This Row],[Location]])&lt;&gt;"", INDIRECT(DB_Map[[#This Row],[Location]]), "")</f>
        <v/>
      </c>
    </row>
    <row r="59" spans="1:3" x14ac:dyDescent="0.25">
      <c r="A59" s="374">
        <v>33</v>
      </c>
      <c r="B59" s="44" t="str">
        <f ca="1">CELL("address", 'Key Financials'!K$26)</f>
        <v>'[2025 ACEC-EFCG Key Financials Survey Form - BLANK (Unlocked).xlsx]Key Financials'!$K$26</v>
      </c>
      <c r="C59" s="8" t="str">
        <f ca="1">IF(INDIRECT(DB_Map[[#This Row],[Location]])&lt;&gt;"", INDIRECT(DB_Map[[#This Row],[Location]]), "")</f>
        <v/>
      </c>
    </row>
    <row r="60" spans="1:3" x14ac:dyDescent="0.25">
      <c r="A60" s="374">
        <v>19</v>
      </c>
      <c r="B60" s="44" t="str">
        <f ca="1">CELL("address", 'Key Financials'!L$24)</f>
        <v>'[2025 ACEC-EFCG Key Financials Survey Form - BLANK (Unlocked).xlsx]Key Financials'!$L$24</v>
      </c>
      <c r="C60" s="8" t="str">
        <f ca="1">IF(INDIRECT(DB_Map[[#This Row],[Location]])&lt;&gt;"", INDIRECT(DB_Map[[#This Row],[Location]]), "")</f>
        <v/>
      </c>
    </row>
    <row r="61" spans="1:3" x14ac:dyDescent="0.25">
      <c r="A61" s="374">
        <v>34</v>
      </c>
      <c r="B61" s="44" t="str">
        <f ca="1">CELL("address", 'Key Financials'!L$26)</f>
        <v>'[2025 ACEC-EFCG Key Financials Survey Form - BLANK (Unlocked).xlsx]Key Financials'!$L$26</v>
      </c>
      <c r="C61" s="8" t="str">
        <f ca="1">IF(INDIRECT(DB_Map[[#This Row],[Location]])&lt;&gt;"", INDIRECT(DB_Map[[#This Row],[Location]]), "")</f>
        <v/>
      </c>
    </row>
    <row r="62" spans="1:3" x14ac:dyDescent="0.25">
      <c r="A62" s="374">
        <v>20</v>
      </c>
      <c r="B62" s="44" t="str">
        <f ca="1">CELL("address", 'Key Financials'!M$24)</f>
        <v>'[2025 ACEC-EFCG Key Financials Survey Form - BLANK (Unlocked).xlsx]Key Financials'!$M$24</v>
      </c>
      <c r="C62" s="8" t="str">
        <f ca="1">IF(INDIRECT(DB_Map[[#This Row],[Location]])&lt;&gt;"", INDIRECT(DB_Map[[#This Row],[Location]]), "")</f>
        <v/>
      </c>
    </row>
    <row r="63" spans="1:3" x14ac:dyDescent="0.25">
      <c r="A63" s="374">
        <v>35</v>
      </c>
      <c r="B63" s="44" t="str">
        <f ca="1">CELL("address", 'Key Financials'!M$26)</f>
        <v>'[2025 ACEC-EFCG Key Financials Survey Form - BLANK (Unlocked).xlsx]Key Financials'!$M$26</v>
      </c>
      <c r="C63" s="8" t="str">
        <f ca="1">IF(INDIRECT(DB_Map[[#This Row],[Location]])&lt;&gt;"", INDIRECT(DB_Map[[#This Row],[Location]]), "")</f>
        <v/>
      </c>
    </row>
    <row r="64" spans="1:3" x14ac:dyDescent="0.25">
      <c r="A64" s="374">
        <v>90</v>
      </c>
      <c r="B64" s="44" t="str">
        <f ca="1">CELL("address", 'Key Financials'!K$30)</f>
        <v>'[2025 ACEC-EFCG Key Financials Survey Form - BLANK (Unlocked).xlsx]Key Financials'!$K$30</v>
      </c>
      <c r="C64" s="8" t="str">
        <f ca="1">IF(INDIRECT(DB_Map[[#This Row],[Location]])&lt;&gt;"", INDIRECT(DB_Map[[#This Row],[Location]]), "")</f>
        <v/>
      </c>
    </row>
    <row r="65" spans="1:3" x14ac:dyDescent="0.25">
      <c r="A65" s="374">
        <v>91</v>
      </c>
      <c r="B65" s="44" t="str">
        <f ca="1">CELL("address", 'Key Financials'!L$30)</f>
        <v>'[2025 ACEC-EFCG Key Financials Survey Form - BLANK (Unlocked).xlsx]Key Financials'!$L$30</v>
      </c>
      <c r="C65" s="8" t="str">
        <f ca="1">IF(INDIRECT(DB_Map[[#This Row],[Location]])&lt;&gt;"", INDIRECT(DB_Map[[#This Row],[Location]]), "")</f>
        <v/>
      </c>
    </row>
    <row r="66" spans="1:3" x14ac:dyDescent="0.25">
      <c r="A66" s="374">
        <v>92</v>
      </c>
      <c r="B66" s="44" t="str">
        <f ca="1">CELL("address", 'Key Financials'!M$30)</f>
        <v>'[2025 ACEC-EFCG Key Financials Survey Form - BLANK (Unlocked).xlsx]Key Financials'!$M$30</v>
      </c>
      <c r="C66" s="8" t="str">
        <f ca="1">IF(INDIRECT(DB_Map[[#This Row],[Location]])&lt;&gt;"", INDIRECT(DB_Map[[#This Row],[Location]]), "")</f>
        <v/>
      </c>
    </row>
    <row r="67" spans="1:3" x14ac:dyDescent="0.25">
      <c r="A67" s="374">
        <v>644</v>
      </c>
      <c r="B67" s="44" t="str">
        <f ca="1">CELL("address", 'Key Financials'!L$28)</f>
        <v>'[2025 ACEC-EFCG Key Financials Survey Form - BLANK (Unlocked).xlsx]Key Financials'!$L$28</v>
      </c>
      <c r="C67" s="8" t="str">
        <f ca="1">IF(INDIRECT(DB_Map[[#This Row],[Location]])&lt;&gt;"", INDIRECT(DB_Map[[#This Row],[Location]]), "")</f>
        <v/>
      </c>
    </row>
    <row r="68" spans="1:3" x14ac:dyDescent="0.25">
      <c r="A68" s="374">
        <v>645</v>
      </c>
      <c r="B68" s="44" t="str">
        <f ca="1">CELL("address", 'Key Financials'!M$28)</f>
        <v>'[2025 ACEC-EFCG Key Financials Survey Form - BLANK (Unlocked).xlsx]Key Financials'!$M$28</v>
      </c>
      <c r="C68" s="8" t="str">
        <f ca="1">IF(INDIRECT(DB_Map[[#This Row],[Location]])&lt;&gt;"", INDIRECT(DB_Map[[#This Row],[Location]]), "")</f>
        <v/>
      </c>
    </row>
    <row r="69" spans="1:3" x14ac:dyDescent="0.25">
      <c r="A69" s="374">
        <v>93</v>
      </c>
      <c r="B69" s="44" t="str">
        <f ca="1">CELL("address", 'Key Financials'!K33)</f>
        <v>'[2025 ACEC-EFCG Key Financials Survey Form - BLANK (Unlocked).xlsx]Key Financials'!$K$33</v>
      </c>
      <c r="C69" s="8" t="str">
        <f ca="1">IF(INDEX(ChecksTable[Status], MATCH(6, ChecksTable[ID], 0)),
         IF(INDIRECT(DB_Map[[#This Row],[Location]])&lt;&gt;"", INDIRECT(DB_Map[[#This Row],[Location]]),
                 IF(COUNT(INDIRECT(INDEX(DB_Map[Location], MATCH(93, DB_Map[ID], 0))), INDIRECT(INDEX(DB_Map[Location], MATCH(94, DB_Map[ID], 0))))&gt;0, 0, "")), "")</f>
        <v/>
      </c>
    </row>
    <row r="70" spans="1:3" x14ac:dyDescent="0.25">
      <c r="A70" s="374">
        <v>94</v>
      </c>
      <c r="B70" s="44" t="str">
        <f ca="1">CELL("address", 'Key Financials'!L33)</f>
        <v>'[2025 ACEC-EFCG Key Financials Survey Form - BLANK (Unlocked).xlsx]Key Financials'!$L$33</v>
      </c>
      <c r="C70" s="8" t="str">
        <f ca="1">IF(INDEX(ChecksTable[Status], MATCH(6, ChecksTable[ID], 0)),
         IF(INDIRECT(DB_Map[[#This Row],[Location]])&lt;&gt;"", INDIRECT(DB_Map[[#This Row],[Location]]),
                 IF(COUNT(INDIRECT(INDEX(DB_Map[Location], MATCH(93, DB_Map[ID], 0))), INDIRECT(INDEX(DB_Map[Location], MATCH(94, DB_Map[ID], 0))))&gt;0, 0, "")), "")</f>
        <v/>
      </c>
    </row>
    <row r="71" spans="1:3" x14ac:dyDescent="0.25">
      <c r="A71" s="374">
        <v>95</v>
      </c>
      <c r="B71" s="44" t="str">
        <f ca="1">CELL("address", 'Key Financials'!M33)</f>
        <v>'[2025 ACEC-EFCG Key Financials Survey Form - BLANK (Unlocked).xlsx]Key Financials'!$M$33</v>
      </c>
      <c r="C71" s="8" t="str">
        <f ca="1">IF(INDIRECT(DB_Map[[#This Row],[Location]])&lt;&gt;"", INDIRECT(DB_Map[[#This Row],[Location]]), "")</f>
        <v/>
      </c>
    </row>
    <row r="72" spans="1:3" x14ac:dyDescent="0.25">
      <c r="A72" s="374">
        <v>109</v>
      </c>
      <c r="B72" s="44" t="str">
        <f ca="1">CELL("address", 'Key Financials'!G36)</f>
        <v>'[2025 ACEC-EFCG Key Financials Survey Form - BLANK (Unlocked).xlsx]Key Financials'!$G$36</v>
      </c>
      <c r="C72" s="8" t="str">
        <f ca="1">IF(INDIRECT(DB_Map[[#This Row],[Location]])&lt;&gt;"", INDIRECT(DB_Map[[#This Row],[Location]]), "")</f>
        <v/>
      </c>
    </row>
    <row r="73" spans="1:3" x14ac:dyDescent="0.25">
      <c r="A73" s="374">
        <v>110</v>
      </c>
      <c r="B73" s="44" t="str">
        <f ca="1">CELL("address", 'Key Financials'!H36)</f>
        <v>'[2025 ACEC-EFCG Key Financials Survey Form - BLANK (Unlocked).xlsx]Key Financials'!$H$36</v>
      </c>
      <c r="C73" s="8" t="str">
        <f ca="1">IF(INDIRECT(DB_Map[[#This Row],[Location]])&lt;&gt;"", INDIRECT(DB_Map[[#This Row],[Location]]), "")</f>
        <v/>
      </c>
    </row>
    <row r="74" spans="1:3" x14ac:dyDescent="0.25">
      <c r="A74" s="374">
        <v>519</v>
      </c>
      <c r="B74" s="44" t="str">
        <f ca="1">CELL("address", 'Key Financials'!M36)</f>
        <v>'[2025 ACEC-EFCG Key Financials Survey Form - BLANK (Unlocked).xlsx]Key Financials'!$M$36</v>
      </c>
      <c r="C74" s="8" t="str">
        <f ca="1">IF(INDIRECT(DB_Map[[#This Row],[Location]])&lt;&gt;"", INDIRECT(DB_Map[[#This Row],[Location]]), "")</f>
        <v/>
      </c>
    </row>
    <row r="75" spans="1:3" x14ac:dyDescent="0.25">
      <c r="A75" s="374">
        <v>520</v>
      </c>
      <c r="B75" s="44" t="str">
        <f ca="1">CELL("address", 'Key Financials'!L36)</f>
        <v>'[2025 ACEC-EFCG Key Financials Survey Form - BLANK (Unlocked).xlsx]Key Financials'!$L$36</v>
      </c>
      <c r="C75" s="8" t="str">
        <f ca="1">IF(INDIRECT(DB_Map[[#This Row],[Location]])&lt;&gt;"", INDIRECT(DB_Map[[#This Row],[Location]]), "")</f>
        <v/>
      </c>
    </row>
    <row r="76" spans="1:3" x14ac:dyDescent="0.25">
      <c r="A76" s="374">
        <v>117</v>
      </c>
      <c r="B76" s="44" t="str">
        <f ca="1">CELL("address", 'Key Financials'!G39)</f>
        <v>'[2025 ACEC-EFCG Key Financials Survey Form - BLANK (Unlocked).xlsx]Key Financials'!$G$39</v>
      </c>
      <c r="C76" s="8" t="str">
        <f ca="1">IF(INDIRECT(DB_Map[[#This Row],[Location]])&lt;&gt;"", INDIRECT(DB_Map[[#This Row],[Location]]), "")</f>
        <v/>
      </c>
    </row>
    <row r="77" spans="1:3" x14ac:dyDescent="0.25">
      <c r="A77" s="374">
        <v>646</v>
      </c>
      <c r="B77" s="44" t="str">
        <f ca="1">CELL("address", 'Key Financials'!L39)</f>
        <v>'[2025 ACEC-EFCG Key Financials Survey Form - BLANK (Unlocked).xlsx]Key Financials'!$L$39</v>
      </c>
      <c r="C77" s="8" t="str">
        <f ca="1">IF(INDIRECT(DB_Map[[#This Row],[Location]])&lt;&gt;"", INDIRECT(DB_Map[[#This Row],[Location]]), "")</f>
        <v/>
      </c>
    </row>
    <row r="78" spans="1:3" x14ac:dyDescent="0.25">
      <c r="A78" s="374">
        <v>45</v>
      </c>
      <c r="B78" s="44" t="str">
        <f ca="1">CELL("address", 'Key Financials'!K$47)</f>
        <v>'[2025 ACEC-EFCG Key Financials Survey Form - BLANK (Unlocked).xlsx]Key Financials'!$K$47</v>
      </c>
      <c r="C78" s="8" t="str">
        <f ca="1">IF(_ESOP?="Yes", IF(INDIRECT(DB_Map[[#This Row],[Location]])&lt;&gt;"", INDIRECT(DB_Map[[#This Row],[Location]]), ""), "")</f>
        <v/>
      </c>
    </row>
    <row r="79" spans="1:3" x14ac:dyDescent="0.25">
      <c r="A79" s="374">
        <v>48</v>
      </c>
      <c r="B79" s="44" t="str">
        <f ca="1">CELL("address", 'Key Financials'!K50)</f>
        <v>'[2025 ACEC-EFCG Key Financials Survey Form - BLANK (Unlocked).xlsx]Key Financials'!$K$50</v>
      </c>
      <c r="C79" s="8" t="str">
        <f ca="1">IF(_ESOP?="Yes",
    IF(INDEX(ChecksTable[Status], MATCH(7, ChecksTable[ID], 0)),
            IF(INDIRECT(DB_Map[[#This Row],[Location]])&lt;&gt;"", INDIRECT(DB_Map[[#This Row],[Location]]),
                IF(COUNT(INDIRECT(INDEX(DB_Map[Location], MATCH(48, DB_Map[ID], 0))),
                                      INDIRECT(INDEX(DB_Map[Location], MATCH(51, DB_Map[ID], 0))))&gt;0, 0, "")), ""), "")</f>
        <v/>
      </c>
    </row>
    <row r="80" spans="1:3" x14ac:dyDescent="0.25">
      <c r="A80" s="374">
        <v>51</v>
      </c>
      <c r="B80" s="44" t="str">
        <f ca="1">CELL("address", 'Key Financials'!K51)</f>
        <v>'[2025 ACEC-EFCG Key Financials Survey Form - BLANK (Unlocked).xlsx]Key Financials'!$K$51</v>
      </c>
      <c r="C80" s="8" t="str">
        <f ca="1">IF(_ESOP?="Yes",
    IF(INDEX(ChecksTable[Status], MATCH(7, ChecksTable[ID], 0)),
            IF(INDIRECT(DB_Map[[#This Row],[Location]])&lt;&gt;"", INDIRECT(DB_Map[[#This Row],[Location]]),
                IF(COUNT(INDIRECT(INDEX(DB_Map[Location], MATCH(48, DB_Map[ID], 0))),
                                      INDIRECT(INDEX(DB_Map[Location], MATCH(51, DB_Map[ID], 0))))&gt;0, 0, "")), ""), "")</f>
        <v/>
      </c>
    </row>
    <row r="81" spans="1:3" x14ac:dyDescent="0.25">
      <c r="A81" s="374">
        <v>54</v>
      </c>
      <c r="B81" s="44" t="str">
        <f ca="1">CELL("address", 'Key Financials'!K49)</f>
        <v>'[2025 ACEC-EFCG Key Financials Survey Form - BLANK (Unlocked).xlsx]Key Financials'!$K$49</v>
      </c>
      <c r="C81" s="8" t="str">
        <f ca="1">IF(_ESOP?="Yes", IF(INDIRECT(DB_Map[[#This Row],[Location]])&lt;&gt;"", INDIRECT(DB_Map[[#This Row],[Location]]), ""), "")</f>
        <v/>
      </c>
    </row>
    <row r="82" spans="1:3" x14ac:dyDescent="0.25">
      <c r="A82" s="374">
        <v>57</v>
      </c>
      <c r="B82" s="44" t="str">
        <f ca="1">CELL("address", 'Key Financials'!K53)</f>
        <v>'[2025 ACEC-EFCG Key Financials Survey Form - BLANK (Unlocked).xlsx]Key Financials'!$K$53</v>
      </c>
      <c r="C82" s="8" t="str">
        <f ca="1">IF(INDIRECT(DB_Map[[#This Row],[Location]])&lt;&gt;"", INDIRECT(DB_Map[[#This Row],[Location]]), "")</f>
        <v/>
      </c>
    </row>
    <row r="83" spans="1:3" x14ac:dyDescent="0.25">
      <c r="A83" s="374">
        <v>647</v>
      </c>
      <c r="B83" s="44" t="str">
        <f ca="1">CELL("address", 'Key Financials'!K56)</f>
        <v>'[2025 ACEC-EFCG Key Financials Survey Form - BLANK (Unlocked).xlsx]Key Financials'!$K$56</v>
      </c>
      <c r="C83"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4" spans="1:3" x14ac:dyDescent="0.25">
      <c r="A84" s="374">
        <v>648</v>
      </c>
      <c r="B84" s="44" t="str">
        <f ca="1">CELL("address", 'Key Financials'!K57)</f>
        <v>'[2025 ACEC-EFCG Key Financials Survey Form - BLANK (Unlocked).xlsx]Key Financials'!$K$57</v>
      </c>
      <c r="C84"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5" spans="1:3" x14ac:dyDescent="0.25">
      <c r="A85" s="374">
        <v>649</v>
      </c>
      <c r="B85" s="44" t="str">
        <f ca="1">CELL("address", 'Key Financials'!K58)</f>
        <v>'[2025 ACEC-EFCG Key Financials Survey Form - BLANK (Unlocked).xlsx]Key Financials'!$K$58</v>
      </c>
      <c r="C85"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6" spans="1:3" x14ac:dyDescent="0.25">
      <c r="A86" s="374">
        <v>66</v>
      </c>
      <c r="B86" s="44" t="str">
        <f ca="1">CELL("address", 'Key Financials'!K$55)</f>
        <v>'[2025 ACEC-EFCG Key Financials Survey Form - BLANK (Unlocked).xlsx]Key Financials'!$K$55</v>
      </c>
      <c r="C86" s="8" t="str">
        <f ca="1">IF(INDIRECT(DB_Map[[#This Row],[Location]])&lt;&gt;"", INDIRECT(DB_Map[[#This Row],[Location]]), "")</f>
        <v/>
      </c>
    </row>
    <row r="87" spans="1:3" x14ac:dyDescent="0.25">
      <c r="A87" s="374">
        <v>60</v>
      </c>
      <c r="B87" s="44" t="str">
        <f ca="1">CELL("address", 'Key Financials'!K$60)</f>
        <v>'[2025 ACEC-EFCG Key Financials Survey Form - BLANK (Unlocked).xlsx]Key Financials'!$K$60</v>
      </c>
      <c r="C87" s="8" t="str">
        <f ca="1">IF(INDIRECT(DB_Map[[#This Row],[Location]])&lt;&gt;"", INDIRECT(DB_Map[[#This Row],[Location]]), "")</f>
        <v/>
      </c>
    </row>
    <row r="88" spans="1:3" x14ac:dyDescent="0.25">
      <c r="A88" s="374">
        <v>72</v>
      </c>
      <c r="B88" s="44" t="str">
        <f ca="1">CELL("address", 'Key Financials'!K$62)</f>
        <v>'[2025 ACEC-EFCG Key Financials Survey Form - BLANK (Unlocked).xlsx]Key Financials'!$K$62</v>
      </c>
      <c r="C88" s="8" t="str">
        <f ca="1">IF(INDIRECT(DB_Map[[#This Row],[Location]])&lt;&gt;"", INDIRECT(DB_Map[[#This Row],[Location]]),
            IF(COUNT(INDIRECT(INDEX(DB_Map[Location], MATCH(72, DB_Map[ID], 0))),
                                 INDIRECT(INDEX(DB_Map[Location], MATCH(75, DB_Map[ID], 0))))&gt;0, 0, ""))</f>
        <v/>
      </c>
    </row>
    <row r="89" spans="1:3" x14ac:dyDescent="0.25">
      <c r="A89" s="374">
        <v>75</v>
      </c>
      <c r="B89" s="44" t="str">
        <f ca="1">CELL("address", 'Key Financials'!K$63)</f>
        <v>'[2025 ACEC-EFCG Key Financials Survey Form - BLANK (Unlocked).xlsx]Key Financials'!$K$63</v>
      </c>
      <c r="C89" s="8" t="str">
        <f ca="1">IF(INDIRECT(DB_Map[[#This Row],[Location]])&lt;&gt;"", INDIRECT(DB_Map[[#This Row],[Location]]),
            IF(COUNT(INDIRECT(INDEX(DB_Map[Location], MATCH(72, DB_Map[ID], 0))),
                                 INDIRECT(INDEX(DB_Map[Location], MATCH(75, DB_Map[ID], 0))))&gt;0, 0, ""))</f>
        <v/>
      </c>
    </row>
    <row r="90" spans="1:3" x14ac:dyDescent="0.25">
      <c r="A90" s="374">
        <v>78</v>
      </c>
      <c r="B90" s="44" t="s">
        <v>206</v>
      </c>
      <c r="C90" s="8" t="str">
        <f ca="1">IF(COUNT(INDEX(DB_Map[Survey Form Value], MATCH(72, DB_Map[ID], 0)),
                      INDEX(DB_Map[Survey Form Value], MATCH(75, DB_Map[ID], 0)))&gt;0,
            SUM(INDEX(DB_Map[Survey Form Value], MATCH(72, DB_Map[ID], 0)),
                      INDEX(DB_Map[Survey Form Value], MATCH(75, DB_Map[ID], 0))), "")</f>
        <v/>
      </c>
    </row>
    <row r="91" spans="1:3" x14ac:dyDescent="0.25">
      <c r="A91" s="374">
        <v>81</v>
      </c>
      <c r="B91" s="44" t="str">
        <f ca="1">CELL("address", 'Key Financials'!K$67)</f>
        <v>'[2025 ACEC-EFCG Key Financials Survey Form - BLANK (Unlocked).xlsx]Key Financials'!$K$67</v>
      </c>
      <c r="C91" s="8" t="str">
        <f ca="1">IF(INDIRECT(DB_Map[[#This Row],[Location]])&lt;&gt;"", INDIRECT(DB_Map[[#This Row],[Location]]), "")</f>
        <v/>
      </c>
    </row>
    <row r="92" spans="1:3" x14ac:dyDescent="0.25">
      <c r="A92" s="374">
        <v>84</v>
      </c>
      <c r="B92" s="44" t="str">
        <f ca="1">CELL("address", 'Key Financials'!K$69)</f>
        <v>'[2025 ACEC-EFCG Key Financials Survey Form - BLANK (Unlocked).xlsx]Key Financials'!$K$69</v>
      </c>
      <c r="C92" s="8" t="str">
        <f ca="1">IF(INDIRECT(DB_Map[[#This Row],[Location]])&lt;&gt;"", INDIRECT(DB_Map[[#This Row],[Location]]), "")</f>
        <v/>
      </c>
    </row>
    <row r="93" spans="1:3" x14ac:dyDescent="0.25">
      <c r="A93" s="374">
        <v>87</v>
      </c>
      <c r="B93" s="44" t="str">
        <f ca="1">CELL("address", 'Key Financials'!K$70)</f>
        <v>'[2025 ACEC-EFCG Key Financials Survey Form - BLANK (Unlocked).xlsx]Key Financials'!$K$70</v>
      </c>
      <c r="C93" s="8" t="str">
        <f ca="1">IF(INDIRECT(DB_Map[[#This Row],[Location]])&lt;&gt;"", INDIRECT(DB_Map[[#This Row],[Location]]), "")</f>
        <v/>
      </c>
    </row>
    <row r="94" spans="1:3" x14ac:dyDescent="0.25">
      <c r="A94" s="374">
        <v>46</v>
      </c>
      <c r="B94" s="44" t="str">
        <f ca="1">CELL("address", 'Key Financials'!L$47)</f>
        <v>'[2025 ACEC-EFCG Key Financials Survey Form - BLANK (Unlocked).xlsx]Key Financials'!$L$47</v>
      </c>
      <c r="C94" s="8" t="str">
        <f ca="1">IF(_ESOP?="Yes", IF(INDIRECT(DB_Map[[#This Row],[Location]])&lt;&gt;"", INDIRECT(DB_Map[[#This Row],[Location]]), ""), "")</f>
        <v/>
      </c>
    </row>
    <row r="95" spans="1:3" x14ac:dyDescent="0.25">
      <c r="A95" s="374">
        <v>49</v>
      </c>
      <c r="B95" s="44" t="str">
        <f ca="1">CELL("address", 'Key Financials'!L50)</f>
        <v>'[2025 ACEC-EFCG Key Financials Survey Form - BLANK (Unlocked).xlsx]Key Financials'!$L$50</v>
      </c>
      <c r="C95" s="8" t="str">
        <f ca="1">IF(_ESOP?="Yes",
    IF(INDEX(ChecksTable[Status], MATCH(7, ChecksTable[ID], 0)),
            IF(INDIRECT(DB_Map[[#This Row],[Location]])&lt;&gt;"", INDIRECT(DB_Map[[#This Row],[Location]]),
                IF(COUNT(INDIRECT(INDEX(DB_Map[Location], MATCH(49, DB_Map[ID], 0))),
                                      INDIRECT(INDEX(DB_Map[Location], MATCH(52, DB_Map[ID], 0))))&gt;0, 0, "")), ""), "")</f>
        <v/>
      </c>
    </row>
    <row r="96" spans="1:3" x14ac:dyDescent="0.25">
      <c r="A96" s="374">
        <v>52</v>
      </c>
      <c r="B96" s="44" t="str">
        <f ca="1">CELL("address", 'Key Financials'!L51)</f>
        <v>'[2025 ACEC-EFCG Key Financials Survey Form - BLANK (Unlocked).xlsx]Key Financials'!$L$51</v>
      </c>
      <c r="C96" s="8" t="str">
        <f ca="1">IF(_ESOP?="Yes",
    IF(INDEX(ChecksTable[Status], MATCH(7, ChecksTable[ID], 0)),
            IF(INDIRECT(DB_Map[[#This Row],[Location]])&lt;&gt;"", INDIRECT(DB_Map[[#This Row],[Location]]),
                IF(COUNT(INDIRECT(INDEX(DB_Map[Location], MATCH(49, DB_Map[ID], 0))),
                                      INDIRECT(INDEX(DB_Map[Location], MATCH(52, DB_Map[ID], 0))))&gt;0, 0, "")), ""), "")</f>
        <v/>
      </c>
    </row>
    <row r="97" spans="1:3" x14ac:dyDescent="0.25">
      <c r="A97" s="374">
        <v>55</v>
      </c>
      <c r="B97" s="44" t="str">
        <f ca="1">CELL("address", 'Key Financials'!L49)</f>
        <v>'[2025 ACEC-EFCG Key Financials Survey Form - BLANK (Unlocked).xlsx]Key Financials'!$L$49</v>
      </c>
      <c r="C97" s="8" t="str">
        <f ca="1">IF(_ESOP?="Yes", IF(INDIRECT(DB_Map[[#This Row],[Location]])&lt;&gt;"", INDIRECT(DB_Map[[#This Row],[Location]]), ""), "")</f>
        <v/>
      </c>
    </row>
    <row r="98" spans="1:3" x14ac:dyDescent="0.25">
      <c r="A98" s="374">
        <v>58</v>
      </c>
      <c r="B98" s="44" t="str">
        <f ca="1">CELL("address", 'Key Financials'!L53)</f>
        <v>'[2025 ACEC-EFCG Key Financials Survey Form - BLANK (Unlocked).xlsx]Key Financials'!$L$53</v>
      </c>
      <c r="C98" s="8" t="str">
        <f ca="1">IF(INDIRECT(DB_Map[[#This Row],[Location]])&lt;&gt;"", INDIRECT(DB_Map[[#This Row],[Location]]), "")</f>
        <v/>
      </c>
    </row>
    <row r="99" spans="1:3" x14ac:dyDescent="0.25">
      <c r="A99" s="374">
        <v>650</v>
      </c>
      <c r="B99" s="44" t="str">
        <f ca="1">CELL("address", 'Key Financials'!L56)</f>
        <v>'[2025 ACEC-EFCG Key Financials Survey Form - BLANK (Unlocked).xlsx]Key Financials'!$L$56</v>
      </c>
      <c r="C99"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0" spans="1:3" x14ac:dyDescent="0.25">
      <c r="A100" s="374">
        <v>651</v>
      </c>
      <c r="B100" s="44" t="str">
        <f ca="1">CELL("address", 'Key Financials'!L57)</f>
        <v>'[2025 ACEC-EFCG Key Financials Survey Form - BLANK (Unlocked).xlsx]Key Financials'!$L$57</v>
      </c>
      <c r="C100"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1" spans="1:3" x14ac:dyDescent="0.25">
      <c r="A101" s="374">
        <v>652</v>
      </c>
      <c r="B101" s="44" t="str">
        <f ca="1">CELL("address", 'Key Financials'!L58)</f>
        <v>'[2025 ACEC-EFCG Key Financials Survey Form - BLANK (Unlocked).xlsx]Key Financials'!$L$58</v>
      </c>
      <c r="C101"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2" spans="1:3" x14ac:dyDescent="0.25">
      <c r="A102" s="374">
        <v>67</v>
      </c>
      <c r="B102" s="44" t="str">
        <f ca="1">CELL("address", 'Key Financials'!L$55)</f>
        <v>'[2025 ACEC-EFCG Key Financials Survey Form - BLANK (Unlocked).xlsx]Key Financials'!$L$55</v>
      </c>
      <c r="C102" s="8" t="str">
        <f ca="1">IF(INDIRECT(DB_Map[[#This Row],[Location]])&lt;&gt;"", INDIRECT(DB_Map[[#This Row],[Location]]), "")</f>
        <v/>
      </c>
    </row>
    <row r="103" spans="1:3" x14ac:dyDescent="0.25">
      <c r="A103" s="374">
        <v>61</v>
      </c>
      <c r="B103" s="44" t="str">
        <f ca="1">CELL("address", 'Key Financials'!L$60)</f>
        <v>'[2025 ACEC-EFCG Key Financials Survey Form - BLANK (Unlocked).xlsx]Key Financials'!$L$60</v>
      </c>
      <c r="C103" s="8" t="str">
        <f ca="1">IF(INDIRECT(DB_Map[[#This Row],[Location]])&lt;&gt;"", INDIRECT(DB_Map[[#This Row],[Location]]), "")</f>
        <v/>
      </c>
    </row>
    <row r="104" spans="1:3" x14ac:dyDescent="0.25">
      <c r="A104" s="374">
        <v>73</v>
      </c>
      <c r="B104" s="44" t="str">
        <f ca="1">CELL("address", 'Key Financials'!L$62)</f>
        <v>'[2025 ACEC-EFCG Key Financials Survey Form - BLANK (Unlocked).xlsx]Key Financials'!$L$62</v>
      </c>
      <c r="C104" s="8" t="str">
        <f ca="1">IF(INDIRECT(DB_Map[[#This Row],[Location]])&lt;&gt;"", INDIRECT(DB_Map[[#This Row],[Location]]),
            IF(COUNT(INDIRECT(INDEX(DB_Map[Location], MATCH(73, DB_Map[ID], 0))),
                                 INDIRECT(INDEX(DB_Map[Location], MATCH(76, DB_Map[ID], 0))))&gt;0, 0, ""))</f>
        <v/>
      </c>
    </row>
    <row r="105" spans="1:3" x14ac:dyDescent="0.25">
      <c r="A105" s="374">
        <v>76</v>
      </c>
      <c r="B105" s="44" t="str">
        <f ca="1">CELL("address", 'Key Financials'!L$63)</f>
        <v>'[2025 ACEC-EFCG Key Financials Survey Form - BLANK (Unlocked).xlsx]Key Financials'!$L$63</v>
      </c>
      <c r="C105" s="8" t="str">
        <f ca="1">IF(INDIRECT(DB_Map[[#This Row],[Location]])&lt;&gt;"", INDIRECT(DB_Map[[#This Row],[Location]]),
            IF(COUNT(INDIRECT(INDEX(DB_Map[Location], MATCH(73, DB_Map[ID], 0))),
                                 INDIRECT(INDEX(DB_Map[Location], MATCH(76, DB_Map[ID], 0))))&gt;0, 0, ""))</f>
        <v/>
      </c>
    </row>
    <row r="106" spans="1:3" x14ac:dyDescent="0.25">
      <c r="A106" s="374">
        <v>79</v>
      </c>
      <c r="B106" s="44" t="s">
        <v>206</v>
      </c>
      <c r="C106" s="8" t="str">
        <f ca="1">IF(COUNT(INDEX(DB_Map[Survey Form Value], MATCH(73, DB_Map[ID], 0)),
                      INDEX(DB_Map[Survey Form Value], MATCH(76, DB_Map[ID], 0)))&gt;0,
            SUM(INDEX(DB_Map[Survey Form Value], MATCH(73, DB_Map[ID], 0)),
                      INDEX(DB_Map[Survey Form Value], MATCH(76, DB_Map[ID], 0))), "")</f>
        <v/>
      </c>
    </row>
    <row r="107" spans="1:3" x14ac:dyDescent="0.25">
      <c r="A107" s="374">
        <v>82</v>
      </c>
      <c r="B107" s="44" t="str">
        <f ca="1">CELL("address", 'Key Financials'!L67)</f>
        <v>'[2025 ACEC-EFCG Key Financials Survey Form - BLANK (Unlocked).xlsx]Key Financials'!$L$67</v>
      </c>
      <c r="C107" s="8" t="str">
        <f ca="1">IF(INDIRECT(DB_Map[[#This Row],[Location]])&lt;&gt;"", INDIRECT(DB_Map[[#This Row],[Location]]), "")</f>
        <v/>
      </c>
    </row>
    <row r="108" spans="1:3" x14ac:dyDescent="0.25">
      <c r="A108" s="374">
        <v>85</v>
      </c>
      <c r="B108" s="44" t="str">
        <f ca="1">CELL("address", 'Key Financials'!L$69)</f>
        <v>'[2025 ACEC-EFCG Key Financials Survey Form - BLANK (Unlocked).xlsx]Key Financials'!$L$69</v>
      </c>
      <c r="C108" s="8" t="str">
        <f ca="1">IF(INDIRECT(DB_Map[[#This Row],[Location]])&lt;&gt;"", INDIRECT(DB_Map[[#This Row],[Location]]), "")</f>
        <v/>
      </c>
    </row>
    <row r="109" spans="1:3" x14ac:dyDescent="0.25">
      <c r="A109" s="374">
        <v>88</v>
      </c>
      <c r="B109" s="44" t="str">
        <f ca="1">CELL("address", 'Key Financials'!L$70)</f>
        <v>'[2025 ACEC-EFCG Key Financials Survey Form - BLANK (Unlocked).xlsx]Key Financials'!$L$70</v>
      </c>
      <c r="C109" s="8" t="str">
        <f ca="1">IF(INDIRECT(DB_Map[[#This Row],[Location]])&lt;&gt;"", INDIRECT(DB_Map[[#This Row],[Location]]), "")</f>
        <v/>
      </c>
    </row>
    <row r="110" spans="1:3" x14ac:dyDescent="0.25">
      <c r="A110" s="374">
        <v>47</v>
      </c>
      <c r="B110" s="44" t="str">
        <f ca="1">CELL("address", 'Key Financials'!M$47)</f>
        <v>'[2025 ACEC-EFCG Key Financials Survey Form - BLANK (Unlocked).xlsx]Key Financials'!$M$47</v>
      </c>
      <c r="C110" s="8" t="str">
        <f ca="1">IF(_ESOP?="Yes", IF(INDIRECT(DB_Map[[#This Row],[Location]])&lt;&gt;"", INDIRECT(DB_Map[[#This Row],[Location]]), ""), "")</f>
        <v/>
      </c>
    </row>
    <row r="111" spans="1:3" x14ac:dyDescent="0.25">
      <c r="A111" s="374">
        <v>50</v>
      </c>
      <c r="B111" s="44" t="str">
        <f ca="1">CELL("address", 'Key Financials'!M50)</f>
        <v>'[2025 ACEC-EFCG Key Financials Survey Form - BLANK (Unlocked).xlsx]Key Financials'!$M$50</v>
      </c>
      <c r="C111" s="8" t="str">
        <f ca="1">IF(_ESOP?="Yes",
    IF(INDEX(ChecksTable[Status], MATCH(7, ChecksTable[ID], 0)),
            IF(INDIRECT(DB_Map[[#This Row],[Location]])&lt;&gt;"", INDIRECT(DB_Map[[#This Row],[Location]]),
                IF(COUNT(INDIRECT(INDEX(DB_Map[Location], MATCH(50, DB_Map[ID], 0))),
                                      INDIRECT(INDEX(DB_Map[Location], MATCH(53, DB_Map[ID], 0))))&gt;0, 0, "")), ""), "")</f>
        <v/>
      </c>
    </row>
    <row r="112" spans="1:3" x14ac:dyDescent="0.25">
      <c r="A112" s="374">
        <v>53</v>
      </c>
      <c r="B112" s="44" t="str">
        <f ca="1">CELL("address", 'Key Financials'!M51)</f>
        <v>'[2025 ACEC-EFCG Key Financials Survey Form - BLANK (Unlocked).xlsx]Key Financials'!$M$51</v>
      </c>
      <c r="C112" s="8" t="str">
        <f ca="1">IF(_ESOP?="Yes",
    IF(INDEX(ChecksTable[Status], MATCH(7, ChecksTable[ID], 0)),
            IF(INDIRECT(DB_Map[[#This Row],[Location]])&lt;&gt;"", INDIRECT(DB_Map[[#This Row],[Location]]),
                IF(COUNT(INDIRECT(INDEX(DB_Map[Location], MATCH(50, DB_Map[ID], 0))),
                                      INDIRECT(INDEX(DB_Map[Location], MATCH(53, DB_Map[ID], 0))))&gt;0, 0, "")), ""), "")</f>
        <v/>
      </c>
    </row>
    <row r="113" spans="1:3" x14ac:dyDescent="0.25">
      <c r="A113" s="374">
        <v>56</v>
      </c>
      <c r="B113" s="44" t="str">
        <f ca="1">CELL("address", 'Key Financials'!M49)</f>
        <v>'[2025 ACEC-EFCG Key Financials Survey Form - BLANK (Unlocked).xlsx]Key Financials'!$M$49</v>
      </c>
      <c r="C113" s="8" t="str">
        <f ca="1">IF(_ESOP?="Yes", IF(INDIRECT(DB_Map[[#This Row],[Location]])&lt;&gt;"", INDIRECT(DB_Map[[#This Row],[Location]]), ""), "")</f>
        <v/>
      </c>
    </row>
    <row r="114" spans="1:3" x14ac:dyDescent="0.25">
      <c r="A114" s="374">
        <v>59</v>
      </c>
      <c r="B114" s="44" t="str">
        <f ca="1">CELL("address", 'Key Financials'!M53)</f>
        <v>'[2025 ACEC-EFCG Key Financials Survey Form - BLANK (Unlocked).xlsx]Key Financials'!$M$53</v>
      </c>
      <c r="C114" s="8" t="str">
        <f ca="1">IF(INDIRECT(DB_Map[[#This Row],[Location]])&lt;&gt;"", INDIRECT(DB_Map[[#This Row],[Location]]), "")</f>
        <v/>
      </c>
    </row>
    <row r="115" spans="1:3" x14ac:dyDescent="0.25">
      <c r="A115" s="374">
        <v>653</v>
      </c>
      <c r="B115" s="44" t="str">
        <f ca="1">CELL("address", 'Key Financials'!M56)</f>
        <v>'[2025 ACEC-EFCG Key Financials Survey Form - BLANK (Unlocked).xlsx]Key Financials'!$M$56</v>
      </c>
      <c r="C115"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6" spans="1:3" x14ac:dyDescent="0.25">
      <c r="A116" s="374">
        <v>654</v>
      </c>
      <c r="B116" s="44" t="str">
        <f ca="1">CELL("address", 'Key Financials'!M57)</f>
        <v>'[2025 ACEC-EFCG Key Financials Survey Form - BLANK (Unlocked).xlsx]Key Financials'!$M$57</v>
      </c>
      <c r="C116"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7" spans="1:3" x14ac:dyDescent="0.25">
      <c r="A117" s="374">
        <v>655</v>
      </c>
      <c r="B117" s="44" t="str">
        <f ca="1">CELL("address", 'Key Financials'!M58)</f>
        <v>'[2025 ACEC-EFCG Key Financials Survey Form - BLANK (Unlocked).xlsx]Key Financials'!$M$58</v>
      </c>
      <c r="C117"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8" spans="1:3" x14ac:dyDescent="0.25">
      <c r="A118" s="374">
        <v>68</v>
      </c>
      <c r="B118" s="44" t="str">
        <f ca="1">CELL("address", 'Key Financials'!M$55)</f>
        <v>'[2025 ACEC-EFCG Key Financials Survey Form - BLANK (Unlocked).xlsx]Key Financials'!$M$55</v>
      </c>
      <c r="C118" s="8" t="str">
        <f ca="1">IF(INDIRECT(DB_Map[[#This Row],[Location]])&lt;&gt;"", INDIRECT(DB_Map[[#This Row],[Location]]), "")</f>
        <v/>
      </c>
    </row>
    <row r="119" spans="1:3" x14ac:dyDescent="0.25">
      <c r="A119" s="374">
        <v>62</v>
      </c>
      <c r="B119" s="44" t="str">
        <f ca="1">CELL("address", 'Key Financials'!M$60)</f>
        <v>'[2025 ACEC-EFCG Key Financials Survey Form - BLANK (Unlocked).xlsx]Key Financials'!$M$60</v>
      </c>
      <c r="C119" s="8" t="str">
        <f ca="1">IF(INDIRECT(DB_Map[[#This Row],[Location]])&lt;&gt;"", INDIRECT(DB_Map[[#This Row],[Location]]), "")</f>
        <v/>
      </c>
    </row>
    <row r="120" spans="1:3" x14ac:dyDescent="0.25">
      <c r="A120" s="374">
        <v>74</v>
      </c>
      <c r="B120" s="44" t="str">
        <f ca="1">CELL("address", 'Key Financials'!M$62)</f>
        <v>'[2025 ACEC-EFCG Key Financials Survey Form - BLANK (Unlocked).xlsx]Key Financials'!$M$62</v>
      </c>
      <c r="C120" s="8" t="str">
        <f ca="1">IF(INDIRECT(DB_Map[[#This Row],[Location]])&lt;&gt;"", INDIRECT(DB_Map[[#This Row],[Location]]),
            IF(COUNT(INDIRECT(INDEX(DB_Map[Location], MATCH(74, DB_Map[ID], 0))),
                               INDIRECT(INDEX(DB_Map[Location], MATCH(77, DB_Map[ID], 0))))&gt;0, 0, ""))</f>
        <v/>
      </c>
    </row>
    <row r="121" spans="1:3" x14ac:dyDescent="0.25">
      <c r="A121" s="374">
        <v>77</v>
      </c>
      <c r="B121" s="44" t="str">
        <f ca="1">CELL("address", 'Key Financials'!M$63)</f>
        <v>'[2025 ACEC-EFCG Key Financials Survey Form - BLANK (Unlocked).xlsx]Key Financials'!$M$63</v>
      </c>
      <c r="C121" s="8" t="str">
        <f ca="1">IF(INDIRECT(DB_Map[[#This Row],[Location]])&lt;&gt;"", INDIRECT(DB_Map[[#This Row],[Location]]),
            IF(COUNT(INDIRECT(INDEX(DB_Map[Location], MATCH(74, DB_Map[ID], 0))),
                               INDIRECT(INDEX(DB_Map[Location], MATCH(77, DB_Map[ID], 0))))&gt;0, 0, ""))</f>
        <v/>
      </c>
    </row>
    <row r="122" spans="1:3" x14ac:dyDescent="0.25">
      <c r="A122" s="374">
        <v>80</v>
      </c>
      <c r="B122" s="44" t="s">
        <v>206</v>
      </c>
      <c r="C122" s="8" t="str">
        <f ca="1">IF(COUNT(INDEX(DB_Map[Survey Form Value], MATCH(74, DB_Map[ID], 0)),
                      INDEX(DB_Map[Survey Form Value], MATCH(77, DB_Map[ID], 0)))&gt;0,
            SUM(INDEX(DB_Map[Survey Form Value], MATCH(74, DB_Map[ID], 0)),
                      INDEX(DB_Map[Survey Form Value], MATCH(77, DB_Map[ID], 0))), "")</f>
        <v/>
      </c>
    </row>
    <row r="123" spans="1:3" x14ac:dyDescent="0.25">
      <c r="A123" s="374">
        <v>83</v>
      </c>
      <c r="B123" s="44" t="str">
        <f ca="1">CELL("address", 'Key Financials'!M$67)</f>
        <v>'[2025 ACEC-EFCG Key Financials Survey Form - BLANK (Unlocked).xlsx]Key Financials'!$M$67</v>
      </c>
      <c r="C123" s="8" t="str">
        <f ca="1">IF(INDIRECT(DB_Map[[#This Row],[Location]])&lt;&gt;"", INDIRECT(DB_Map[[#This Row],[Location]]), "")</f>
        <v/>
      </c>
    </row>
    <row r="124" spans="1:3" x14ac:dyDescent="0.25">
      <c r="A124" s="374">
        <v>86</v>
      </c>
      <c r="B124" s="44" t="str">
        <f ca="1">CELL("address", 'Key Financials'!M$69)</f>
        <v>'[2025 ACEC-EFCG Key Financials Survey Form - BLANK (Unlocked).xlsx]Key Financials'!$M$69</v>
      </c>
      <c r="C124" s="8" t="str">
        <f ca="1">IF(INDIRECT(DB_Map[[#This Row],[Location]])&lt;&gt;"", INDIRECT(DB_Map[[#This Row],[Location]]), "")</f>
        <v/>
      </c>
    </row>
    <row r="125" spans="1:3" x14ac:dyDescent="0.25">
      <c r="A125" s="374">
        <v>89</v>
      </c>
      <c r="B125" s="44" t="str">
        <f ca="1">CELL("address", 'Key Financials'!M$70)</f>
        <v>'[2025 ACEC-EFCG Key Financials Survey Form - BLANK (Unlocked).xlsx]Key Financials'!$M$70</v>
      </c>
      <c r="C125" s="8" t="str">
        <f ca="1">IF(INDIRECT(DB_Map[[#This Row],[Location]])&lt;&gt;"", INDIRECT(DB_Map[[#This Row],[Location]]), "")</f>
        <v/>
      </c>
    </row>
    <row r="126" spans="1:3" x14ac:dyDescent="0.25">
      <c r="A126" s="374">
        <v>635</v>
      </c>
      <c r="B126" s="44" t="s">
        <v>206</v>
      </c>
      <c r="C126" s="8" t="b">
        <f ca="1">COUNT(INDEX(DB_Map[Survey Form Value], MATCH(18, DB_Map[ID], 0)),
                 INDEX(DB_Map[Survey Form Value], MATCH(33, DB_Map[ID], 0)),
                 INDEX(DB_Map[Survey Form Value], MATCH(81, DB_Map[ID], 0)),
                 INDEX(DB_Map[Survey Form Value], MATCH(57, DB_Map[ID], 0)))=4</f>
        <v>0</v>
      </c>
    </row>
    <row r="127" spans="1:3" x14ac:dyDescent="0.25">
      <c r="A127" s="374">
        <v>614</v>
      </c>
      <c r="B127" s="44" t="s">
        <v>206</v>
      </c>
      <c r="C127" s="8" t="b">
        <f ca="1">INDEX(ChecksTable[Status], MATCH(15, ChecksTable[ID], 0))</f>
        <v>1</v>
      </c>
    </row>
    <row r="128" spans="1:3" x14ac:dyDescent="0.25">
      <c r="A128" s="374">
        <v>130</v>
      </c>
      <c r="B128" s="44" t="str">
        <f ca="1">CELL("address", 'Key Financials'!H80)</f>
        <v>'[2025 ACEC-EFCG Key Financials Survey Form - BLANK (Unlocked).xlsx]Key Financials'!$H$80</v>
      </c>
      <c r="C128"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29" spans="1:3" x14ac:dyDescent="0.25">
      <c r="A129" s="374">
        <v>133</v>
      </c>
      <c r="B129" s="44" t="str">
        <f ca="1">CELL("address", 'Key Financials'!H81)</f>
        <v>'[2025 ACEC-EFCG Key Financials Survey Form - BLANK (Unlocked).xlsx]Key Financials'!$H$81</v>
      </c>
      <c r="C129"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0" spans="1:3" x14ac:dyDescent="0.25">
      <c r="A130" s="374">
        <v>131</v>
      </c>
      <c r="B130" s="44" t="str">
        <f ca="1">CELL("address", 'Key Financials'!H82)</f>
        <v>'[2025 ACEC-EFCG Key Financials Survey Form - BLANK (Unlocked).xlsx]Key Financials'!$H$82</v>
      </c>
      <c r="C130" s="8"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1" spans="1:3" x14ac:dyDescent="0.25">
      <c r="A131" s="374">
        <v>132</v>
      </c>
      <c r="B131" s="44" t="str">
        <f ca="1">CELL("address", 'Key Financials'!H83)</f>
        <v>'[2025 ACEC-EFCG Key Financials Survey Form - BLANK (Unlocked).xlsx]Key Financials'!$H$83</v>
      </c>
      <c r="C131" s="8"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2" spans="1:3" x14ac:dyDescent="0.25">
      <c r="A132" s="374">
        <v>134</v>
      </c>
      <c r="B132" s="44" t="str">
        <f ca="1">CELL("address", 'Key Financials'!H84)</f>
        <v>'[2025 ACEC-EFCG Key Financials Survey Form - BLANK (Unlocked).xlsx]Key Financials'!$H$84</v>
      </c>
      <c r="C132"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3" spans="1:3" x14ac:dyDescent="0.25">
      <c r="A133" s="374">
        <v>135</v>
      </c>
      <c r="B133" s="44" t="str">
        <f ca="1">CELL("address", 'Key Financials'!H85)</f>
        <v>'[2025 ACEC-EFCG Key Financials Survey Form - BLANK (Unlocked).xlsx]Key Financials'!$H$85</v>
      </c>
      <c r="C133"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4" spans="1:3" x14ac:dyDescent="0.25">
      <c r="A134" s="374">
        <v>136</v>
      </c>
      <c r="B134" s="44" t="str">
        <f ca="1">CELL("address", 'Key Financials'!H87)</f>
        <v>'[2025 ACEC-EFCG Key Financials Survey Form - BLANK (Unlocked).xlsx]Key Financials'!$H$87</v>
      </c>
      <c r="C134"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5" spans="1:3" x14ac:dyDescent="0.25">
      <c r="A135" s="374">
        <v>137</v>
      </c>
      <c r="B135" s="44" t="str">
        <f ca="1">CELL("address", 'Key Financials'!H88)</f>
        <v>'[2025 ACEC-EFCG Key Financials Survey Form - BLANK (Unlocked).xlsx]Key Financials'!$H$88</v>
      </c>
      <c r="C135" s="8" t="str">
        <f ca="1">IF(INDIRECT(DB_Map[[#This Row],[Location]])&lt;&gt;"", INDIRECT(DB_Map[[#This Row],[Location]]), "")</f>
        <v/>
      </c>
    </row>
    <row r="136" spans="1:3" x14ac:dyDescent="0.25">
      <c r="A136" s="374">
        <v>138</v>
      </c>
      <c r="B136" s="44" t="str">
        <f ca="1">CELL("address", 'Key Financials'!M80)</f>
        <v>'[2025 ACEC-EFCG Key Financials Survey Form - BLANK (Unlocked).xlsx]Key Financials'!$M$80</v>
      </c>
      <c r="C136"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7" spans="1:3" x14ac:dyDescent="0.25">
      <c r="A137" s="374">
        <v>139</v>
      </c>
      <c r="B137" s="44" t="str">
        <f ca="1">CELL("address", 'Key Financials'!M81)</f>
        <v>'[2025 ACEC-EFCG Key Financials Survey Form - BLANK (Unlocked).xlsx]Key Financials'!$M$81</v>
      </c>
      <c r="C137"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8" spans="1:3" x14ac:dyDescent="0.25">
      <c r="A138" s="374">
        <v>142</v>
      </c>
      <c r="B138" s="44" t="str">
        <f ca="1">CELL("address", 'Key Financials'!M82)</f>
        <v>'[2025 ACEC-EFCG Key Financials Survey Form - BLANK (Unlocked).xlsx]Key Financials'!$M$82</v>
      </c>
      <c r="C138"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9" spans="1:3" x14ac:dyDescent="0.25">
      <c r="A139" s="374">
        <v>140</v>
      </c>
      <c r="B139" s="44" t="str">
        <f ca="1">CELL("address", 'Key Financials'!M83)</f>
        <v>'[2025 ACEC-EFCG Key Financials Survey Form - BLANK (Unlocked).xlsx]Key Financials'!$M$83</v>
      </c>
      <c r="C139" s="8"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0" spans="1:3" x14ac:dyDescent="0.25">
      <c r="A140" s="374">
        <v>141</v>
      </c>
      <c r="B140" s="44" t="str">
        <f ca="1">CELL("address", 'Key Financials'!M84)</f>
        <v>'[2025 ACEC-EFCG Key Financials Survey Form - BLANK (Unlocked).xlsx]Key Financials'!$M$84</v>
      </c>
      <c r="C140" s="8"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1" spans="1:3" x14ac:dyDescent="0.25">
      <c r="A141" s="374">
        <v>143</v>
      </c>
      <c r="B141" s="44" t="str">
        <f ca="1">CELL("address", 'Key Financials'!M86)</f>
        <v>'[2025 ACEC-EFCG Key Financials Survey Form - BLANK (Unlocked).xlsx]Key Financials'!$M$86</v>
      </c>
      <c r="C141"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42" spans="1:3" x14ac:dyDescent="0.25">
      <c r="A142" s="374">
        <v>144</v>
      </c>
      <c r="B142" s="44" t="str">
        <f ca="1">CELL("address", 'Key Financials'!M87)</f>
        <v>'[2025 ACEC-EFCG Key Financials Survey Form - BLANK (Unlocked).xlsx]Key Financials'!$M$87</v>
      </c>
      <c r="C142" s="8" t="str">
        <f ca="1">IF(INDIRECT(DB_Map[[#This Row],[Location]])&lt;&gt;"", INDIRECT(DB_Map[[#This Row],[Location]]), "")</f>
        <v/>
      </c>
    </row>
    <row r="143" spans="1:3" x14ac:dyDescent="0.25">
      <c r="A143" s="374">
        <v>145</v>
      </c>
      <c r="B143" s="44" t="str">
        <f ca="1">CELL("address", 'Key Financials'!M89)</f>
        <v>'[2025 ACEC-EFCG Key Financials Survey Form - BLANK (Unlocked).xlsx]Key Financials'!$M$89</v>
      </c>
      <c r="C143" s="8" t="str">
        <f ca="1">IF(INDIRECT(DB_Map[[#This Row],[Location]])&lt;&gt;"", INDIRECT(DB_Map[[#This Row],[Location]]), "")</f>
        <v/>
      </c>
    </row>
    <row r="144" spans="1:3" x14ac:dyDescent="0.25">
      <c r="A144" s="374">
        <v>146</v>
      </c>
      <c r="B144" s="44" t="str">
        <f ca="1">CELL("address", 'Key Financials'!M90)</f>
        <v>'[2025 ACEC-EFCG Key Financials Survey Form - BLANK (Unlocked).xlsx]Key Financials'!$M$90</v>
      </c>
      <c r="C144" s="8" t="str">
        <f ca="1">IF(INDIRECT(DB_Map[[#This Row],[Location]])&lt;&gt;"", INDIRECT(DB_Map[[#This Row],[Location]]), "")</f>
        <v/>
      </c>
    </row>
    <row r="145" spans="1:3" x14ac:dyDescent="0.25">
      <c r="A145" s="374">
        <v>148</v>
      </c>
      <c r="B145" s="44" t="str">
        <f ca="1">CELL("address", 'Key Financials'!$H$93)</f>
        <v>'[2025 ACEC-EFCG Key Financials Survey Form - BLANK (Unlocked).xlsx]Key Financials'!$H$93</v>
      </c>
      <c r="C145" s="8" t="str">
        <f ca="1">IF(INDIRECT(DB_Map[[#This Row],[Location]])&lt;&gt;"", INDIRECT(DB_Map[[#This Row],[Location]]), "")</f>
        <v/>
      </c>
    </row>
    <row r="146" spans="1:3" x14ac:dyDescent="0.25">
      <c r="A146" s="374">
        <v>703</v>
      </c>
      <c r="B146" s="44" t="str">
        <f ca="1">CELL("address", 'Key Financials'!J95)</f>
        <v>'[2025 ACEC-EFCG Key Financials Survey Form - BLANK (Unlocked).xlsx]Key Financials'!$J$95</v>
      </c>
      <c r="C146" s="8" t="str">
        <f ca="1">IF(INDIRECT(DB_Map[[#This Row],[Location]])&lt;&gt;"", INDIRECT(DB_Map[[#This Row],[Location]]), "")</f>
        <v/>
      </c>
    </row>
    <row r="147" spans="1:3" x14ac:dyDescent="0.25">
      <c r="A147" s="374">
        <v>704</v>
      </c>
      <c r="B147" s="44" t="str">
        <f ca="1">CELL("address", 'Key Financials'!M95)</f>
        <v>'[2025 ACEC-EFCG Key Financials Survey Form - BLANK (Unlocked).xlsx]Key Financials'!$M$95</v>
      </c>
      <c r="C147" s="8" t="str">
        <f ca="1">IF(INDIRECT(DB_Map[[#This Row],[Location]])&lt;&gt;"", INDIRECT(DB_Map[[#This Row],[Location]]), "")</f>
        <v/>
      </c>
    </row>
    <row r="148" spans="1:3" x14ac:dyDescent="0.25">
      <c r="A148" s="374">
        <v>149</v>
      </c>
      <c r="B148" s="44" t="str">
        <f ca="1">CELL("address", 'Key Financials'!$J$99)</f>
        <v>'[2025 ACEC-EFCG Key Financials Survey Form - BLANK (Unlocked).xlsx]Key Financials'!$J$99</v>
      </c>
      <c r="C148" s="8" t="str">
        <f ca="1">IF(INDEX(DB_Map[Survey Form Value], MATCH(6, DB_Map[ID], 0))="Private", IF(INDIRECT(DB_Map[[#This Row],[Location]])&lt;&gt;"", INDIRECT(DB_Map[[#This Row],[Location]]), ""), "")</f>
        <v/>
      </c>
    </row>
    <row r="149" spans="1:3" x14ac:dyDescent="0.25">
      <c r="A149" s="374">
        <v>522</v>
      </c>
      <c r="B149" s="44" t="str">
        <f ca="1">CELL("address", 'Key Financials'!$M101)</f>
        <v>'[2025 ACEC-EFCG Key Financials Survey Form - BLANK (Unlocked).xlsx]Key Financials'!$M$101</v>
      </c>
      <c r="C149" s="8" t="str">
        <f ca="1">IF(INDEX(DB_Map[Survey Form Value], MATCH(6, DB_Map[ID], 0))="Private",
       IF(INDIRECT(DB_Map[[#This Row],[Location]])="Yes", TRUE, IF(INDIRECT(DB_Map[[#This Row],[Location]])="No", FALSE, "")), "")</f>
        <v/>
      </c>
    </row>
    <row r="150" spans="1:3" x14ac:dyDescent="0.25">
      <c r="A150" s="374">
        <v>523</v>
      </c>
      <c r="B150" s="44" t="str">
        <f ca="1">CELL("address", 'Key Financials'!$I$104)</f>
        <v>'[2025 ACEC-EFCG Key Financials Survey Form - BLANK (Unlocked).xlsx]Key Financials'!$I$104</v>
      </c>
      <c r="C150" s="8" t="str">
        <f ca="1">IF(INDEX(DB_Map[Survey Form Value], MATCH(6, DB_Map[ID], 0))="Private",
         IF(INDIRECT(DB_Map[[#This Row],[Location]])&lt;&gt;"", INDIRECT(DB_Map[[#This Row],[Location]]),
                 IF(COUNT(INDIRECT(INDEX(DB_Map[Location], MATCH(523, DB_Map[ID], 0))), INDIRECT(INDEX(DB_Map[Location], MATCH(524, DB_Map[ID], 0))))&gt;0, 0, "")), "")</f>
        <v/>
      </c>
    </row>
    <row r="151" spans="1:3" x14ac:dyDescent="0.25">
      <c r="A151" s="374">
        <v>524</v>
      </c>
      <c r="B151" s="44" t="str">
        <f ca="1">CELL("address", 'Key Financials'!$K$104)</f>
        <v>'[2025 ACEC-EFCG Key Financials Survey Form - BLANK (Unlocked).xlsx]Key Financials'!$K$104</v>
      </c>
      <c r="C151" s="8" t="str">
        <f ca="1">IF(INDEX(DB_Map[Survey Form Value], MATCH(6, DB_Map[ID], 0))="Private",
         IF(INDIRECT(DB_Map[[#This Row],[Location]])&lt;&gt;"", INDIRECT(DB_Map[[#This Row],[Location]]),
                 IF(COUNT(INDIRECT(INDEX(DB_Map[Location], MATCH(523, DB_Map[ID], 0))), INDIRECT(INDEX(DB_Map[Location], MATCH(524, DB_Map[ID], 0))))&gt;0, 0, "")), "")</f>
        <v/>
      </c>
    </row>
    <row r="152" spans="1:3" x14ac:dyDescent="0.25">
      <c r="A152" s="374">
        <v>525</v>
      </c>
      <c r="B152" s="44" t="str">
        <f ca="1">CELL("address", 'Key Financials'!$M$104)</f>
        <v>'[2025 ACEC-EFCG Key Financials Survey Form - BLANK (Unlocked).xlsx]Key Financials'!$M$104</v>
      </c>
      <c r="C152" s="8" t="str">
        <f ca="1">IF(INDEX(DB_Map[Survey Form Value], MATCH(6, DB_Map[ID], 0))="Private",
       IF(INDIRECT(DB_Map[[#This Row],[Location]])&lt;&gt;"", INDIRECT(DB_Map[[#This Row],[Location]]), ""), "")</f>
        <v/>
      </c>
    </row>
    <row r="153" spans="1:3" x14ac:dyDescent="0.25">
      <c r="A153" s="374">
        <v>612</v>
      </c>
      <c r="B153" s="44" t="str">
        <f ca="1">CELL("address", 'Key Financials'!L115)</f>
        <v>'[2025 ACEC-EFCG Key Financials Survey Form - BLANK (Unlocked).xlsx]Key Financials'!$L$115</v>
      </c>
      <c r="C153" s="8" t="str">
        <f ca="1">IF(INDIRECT(DB_Map[[#This Row],[Location]])&lt;&gt;"", INDIRECT(DB_Map[[#This Row],[Location]]), "")</f>
        <v/>
      </c>
    </row>
    <row r="154" spans="1:3" x14ac:dyDescent="0.25">
      <c r="A154" s="374">
        <v>657</v>
      </c>
      <c r="B154" s="44" t="str">
        <f ca="1">CELL("address", 'Key Financials'!M115)</f>
        <v>'[2025 ACEC-EFCG Key Financials Survey Form - BLANK (Unlocked).xlsx]Key Financials'!$M$115</v>
      </c>
      <c r="C154" s="8" t="str">
        <f ca="1">IF(INDIRECT(DB_Map[[#This Row],[Location]])&lt;&gt;"", INDIRECT(DB_Map[[#This Row],[Location]]), "")</f>
        <v/>
      </c>
    </row>
    <row r="155" spans="1:3" x14ac:dyDescent="0.25">
      <c r="A155" s="374">
        <v>613</v>
      </c>
      <c r="B155" s="44" t="str">
        <f ca="1">CELL("address", 'Key Financials'!L116)</f>
        <v>'[2025 ACEC-EFCG Key Financials Survey Form - BLANK (Unlocked).xlsx]Key Financials'!$L$116</v>
      </c>
      <c r="C155" s="8" t="str">
        <f ca="1">IF(INDIRECT(DB_Map[[#This Row],[Location]])&lt;&gt;"", INDIRECT(DB_Map[[#This Row],[Location]]), "")</f>
        <v/>
      </c>
    </row>
    <row r="156" spans="1:3" x14ac:dyDescent="0.25">
      <c r="A156" s="374">
        <v>660</v>
      </c>
      <c r="B156" s="44" t="str">
        <f ca="1">CELL("address", 'Key Financials'!M116)</f>
        <v>'[2025 ACEC-EFCG Key Financials Survey Form - BLANK (Unlocked).xlsx]Key Financials'!$M$116</v>
      </c>
      <c r="C156" s="8" t="str">
        <f ca="1">IF(INDIRECT(DB_Map[[#This Row],[Location]])&lt;&gt;"", INDIRECT(DB_Map[[#This Row],[Location]]), "")</f>
        <v/>
      </c>
    </row>
    <row r="157" spans="1:3" x14ac:dyDescent="0.25">
      <c r="A157" s="374">
        <v>96</v>
      </c>
      <c r="B157" s="44" t="s">
        <v>206</v>
      </c>
      <c r="C157" s="8" t="str">
        <f ca="1">IF(COUNT(INDEX(DB_Map[Survey Form Value], MATCH(33, DB_Map[ID], 0)), INDEX(DB_Map[Survey Form Value], MATCH(36, DB_Map[ID], 0)))=2,
        INDEX(DB_Map[Survey Form Value], MATCH(33, DB_Map[ID], 0)) / INDEX(DB_Map[Survey Form Value], MATCH(36, DB_Map[ID], 0)), "")</f>
        <v/>
      </c>
    </row>
    <row r="158" spans="1:3" x14ac:dyDescent="0.25">
      <c r="A158" s="374">
        <v>642</v>
      </c>
      <c r="B158" s="44" t="s">
        <v>206</v>
      </c>
      <c r="C158" s="8" t="str">
        <f ca="1">IF(COUNT(INDEX(DB_Map[Survey Form Value], MATCH(36, DB_Map[ID], 0)), INDEX(DB_Map[Survey Form Value], MATCH(458, DB_Map[ID], 0)))=2,
        INDEX(DB_Map[Survey Form Value], MATCH(36, DB_Map[ID], 0)) / SUM(INDEX(DB_Map[Survey Form Value], MATCH(36, DB_Map[ID], 0)),
                                                                                                                         INDEX(DB_Map[Survey Form Value], MATCH(458, DB_Map[ID], 0))), "")</f>
        <v/>
      </c>
    </row>
    <row r="159" spans="1:3" x14ac:dyDescent="0.25">
      <c r="A159" s="374">
        <v>611</v>
      </c>
      <c r="B159" s="44" t="str">
        <f ca="1">CELL("address", 'Key Financials'!L$118)</f>
        <v>'[2025 ACEC-EFCG Key Financials Survey Form - BLANK (Unlocked).xlsx]Key Financials'!$L$118</v>
      </c>
      <c r="C159" s="8" t="str">
        <f ca="1">IF(INDIRECT(DB_Map[[#This Row],[Location]])&lt;&gt;"", INDIRECT(DB_Map[[#This Row],[Location]]), "")</f>
        <v/>
      </c>
    </row>
    <row r="160" spans="1:3" x14ac:dyDescent="0.25">
      <c r="A160" s="374">
        <v>102</v>
      </c>
      <c r="B160" s="44" t="str">
        <f ca="1">CELL("address", 'Key Financials'!L$119)</f>
        <v>'[2025 ACEC-EFCG Key Financials Survey Form - BLANK (Unlocked).xlsx]Key Financials'!$L$119</v>
      </c>
      <c r="C160" s="8" t="str">
        <f ca="1">IF(INDIRECT(DB_Map[[#This Row],[Location]])&lt;&gt;"", INDIRECT(DB_Map[[#This Row],[Location]]), "")</f>
        <v/>
      </c>
    </row>
    <row r="161" spans="1:3" x14ac:dyDescent="0.25">
      <c r="A161" s="374">
        <v>103</v>
      </c>
      <c r="B161" s="44" t="str">
        <f ca="1">CELL("address", 'Key Financials'!L$120)</f>
        <v>'[2025 ACEC-EFCG Key Financials Survey Form - BLANK (Unlocked).xlsx]Key Financials'!$L$120</v>
      </c>
      <c r="C161" s="8" t="str">
        <f ca="1">IF(INDIRECT(DB_Map[[#This Row],[Location]])&lt;&gt;"", INDIRECT(DB_Map[[#This Row],[Location]]), "")</f>
        <v/>
      </c>
    </row>
    <row r="162" spans="1:3" x14ac:dyDescent="0.25">
      <c r="A162" s="374">
        <v>36</v>
      </c>
      <c r="B162" s="44" t="str">
        <f ca="1">CELL("address", Overhead!L17)</f>
        <v>'[2025 ACEC-EFCG Key Financials Survey Form - BLANK (Unlocked).xlsx]Overhead'!$L$17</v>
      </c>
      <c r="C162" s="8" t="str">
        <f ca="1">IF(INDIRECT(DB_Map[[#This Row],[Location]])&lt;&gt;"", INDIRECT(DB_Map[[#This Row],[Location]]), "")</f>
        <v/>
      </c>
    </row>
    <row r="163" spans="1:3" x14ac:dyDescent="0.25">
      <c r="A163" s="374">
        <v>27</v>
      </c>
      <c r="B163" s="44" t="str">
        <f ca="1">CELL("address", Overhead!L19)</f>
        <v>'[2025 ACEC-EFCG Key Financials Survey Form - BLANK (Unlocked).xlsx]Overhead'!$L$19</v>
      </c>
      <c r="C163" s="8" t="str">
        <f ca="1">IF(INDIRECT(DB_Map[[#This Row],[Location]])&lt;&gt;"", INDIRECT(DB_Map[[#This Row],[Location]]), "")</f>
        <v/>
      </c>
    </row>
    <row r="164" spans="1:3" x14ac:dyDescent="0.25">
      <c r="A164" s="374">
        <v>389</v>
      </c>
      <c r="B164" s="44" t="str">
        <f ca="1">CELL("address", Overhead!H$34)</f>
        <v>'[2025 ACEC-EFCG Key Financials Survey Form - BLANK (Unlocked).xlsx]Overhead'!$H$34</v>
      </c>
      <c r="C164"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5" spans="1:3" x14ac:dyDescent="0.25">
      <c r="A165" s="374">
        <v>390</v>
      </c>
      <c r="B165" s="44" t="str">
        <f ca="1">CELL("address", Overhead!J$34)</f>
        <v>'[2025 ACEC-EFCG Key Financials Survey Form - BLANK (Unlocked).xlsx]Overhead'!$J$34</v>
      </c>
      <c r="C165"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6" spans="1:3" x14ac:dyDescent="0.25">
      <c r="A166" s="374">
        <v>387</v>
      </c>
      <c r="B166" s="44" t="str">
        <f ca="1">CELL("address", Overhead!L$34)</f>
        <v>'[2025 ACEC-EFCG Key Financials Survey Form - BLANK (Unlocked).xlsx]Overhead'!$L$34</v>
      </c>
      <c r="C166"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67" spans="1:3" x14ac:dyDescent="0.25">
      <c r="A167" s="374">
        <v>393</v>
      </c>
      <c r="B167" s="44" t="str">
        <f ca="1">CELL("address", Overhead!H$38)</f>
        <v>'[2025 ACEC-EFCG Key Financials Survey Form - BLANK (Unlocked).xlsx]Overhead'!$H$38</v>
      </c>
      <c r="C167"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8" spans="1:3" x14ac:dyDescent="0.25">
      <c r="A168" s="374">
        <v>394</v>
      </c>
      <c r="B168" s="44" t="str">
        <f ca="1">CELL("address", Overhead!J$38)</f>
        <v>'[2025 ACEC-EFCG Key Financials Survey Form - BLANK (Unlocked).xlsx]Overhead'!$J$38</v>
      </c>
      <c r="C168"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9" spans="1:3" x14ac:dyDescent="0.25">
      <c r="A169" s="374">
        <v>391</v>
      </c>
      <c r="B169" s="44" t="str">
        <f ca="1">CELL("address", Overhead!L$38)</f>
        <v>'[2025 ACEC-EFCG Key Financials Survey Form - BLANK (Unlocked).xlsx]Overhead'!$L$38</v>
      </c>
      <c r="C169"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0" spans="1:3" x14ac:dyDescent="0.25">
      <c r="A170" s="374">
        <v>401</v>
      </c>
      <c r="B170" s="44" t="str">
        <f ca="1">CELL("address", Overhead!H$42)</f>
        <v>'[2025 ACEC-EFCG Key Financials Survey Form - BLANK (Unlocked).xlsx]Overhead'!$H$42</v>
      </c>
      <c r="C170"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1" spans="1:3" x14ac:dyDescent="0.25">
      <c r="A171" s="374">
        <v>402</v>
      </c>
      <c r="B171" s="44" t="str">
        <f ca="1">CELL("address", Overhead!J$42)</f>
        <v>'[2025 ACEC-EFCG Key Financials Survey Form - BLANK (Unlocked).xlsx]Overhead'!$J$42</v>
      </c>
      <c r="C171"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2" spans="1:3" x14ac:dyDescent="0.25">
      <c r="A172" s="374">
        <v>399</v>
      </c>
      <c r="B172" s="44" t="str">
        <f ca="1">CELL("address", Overhead!L$42)</f>
        <v>'[2025 ACEC-EFCG Key Financials Survey Form - BLANK (Unlocked).xlsx]Overhead'!$L$42</v>
      </c>
      <c r="C172"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3" spans="1:3" x14ac:dyDescent="0.25">
      <c r="A173" s="374">
        <v>405</v>
      </c>
      <c r="B173" s="44" t="str">
        <f ca="1">CELL("address", Overhead!H$44)</f>
        <v>'[2025 ACEC-EFCG Key Financials Survey Form - BLANK (Unlocked).xlsx]Overhead'!$H$44</v>
      </c>
      <c r="C173"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4" spans="1:3" x14ac:dyDescent="0.25">
      <c r="A174" s="374">
        <v>406</v>
      </c>
      <c r="B174" s="44" t="str">
        <f ca="1">CELL("address", Overhead!J$44)</f>
        <v>'[2025 ACEC-EFCG Key Financials Survey Form - BLANK (Unlocked).xlsx]Overhead'!$J$44</v>
      </c>
      <c r="C174"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5" spans="1:3" x14ac:dyDescent="0.25">
      <c r="A175" s="374">
        <v>403</v>
      </c>
      <c r="B175" s="44" t="str">
        <f ca="1">CELL("address", Overhead!L$44)</f>
        <v>'[2025 ACEC-EFCG Key Financials Survey Form - BLANK (Unlocked).xlsx]Overhead'!$L$44</v>
      </c>
      <c r="C175"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6" spans="1:3" x14ac:dyDescent="0.25">
      <c r="A176" s="374">
        <v>413</v>
      </c>
      <c r="B176" s="44" t="str">
        <f ca="1">CELL("address", Overhead!H$48)</f>
        <v>'[2025 ACEC-EFCG Key Financials Survey Form - BLANK (Unlocked).xlsx]Overhead'!$H$48</v>
      </c>
      <c r="C176"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7" spans="1:3" x14ac:dyDescent="0.25">
      <c r="A177" s="374">
        <v>414</v>
      </c>
      <c r="B177" s="44" t="str">
        <f ca="1">CELL("address", Overhead!J$48)</f>
        <v>'[2025 ACEC-EFCG Key Financials Survey Form - BLANK (Unlocked).xlsx]Overhead'!$J$48</v>
      </c>
      <c r="C177"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8" spans="1:3" x14ac:dyDescent="0.25">
      <c r="A178" s="374">
        <v>411</v>
      </c>
      <c r="B178" s="44" t="str">
        <f ca="1">CELL("address", Overhead!L$48)</f>
        <v>'[2025 ACEC-EFCG Key Financials Survey Form - BLANK (Unlocked).xlsx]Overhead'!$L$48</v>
      </c>
      <c r="C178"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9" spans="1:3" x14ac:dyDescent="0.25">
      <c r="A179" s="374">
        <v>421</v>
      </c>
      <c r="B179" s="44" t="str">
        <f ca="1">CELL("address", Overhead!H$52)</f>
        <v>'[2025 ACEC-EFCG Key Financials Survey Form - BLANK (Unlocked).xlsx]Overhead'!$H$52</v>
      </c>
      <c r="C179"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0" spans="1:3" x14ac:dyDescent="0.25">
      <c r="A180" s="374">
        <v>422</v>
      </c>
      <c r="B180" s="44" t="str">
        <f ca="1">CELL("address", Overhead!J$52)</f>
        <v>'[2025 ACEC-EFCG Key Financials Survey Form - BLANK (Unlocked).xlsx]Overhead'!$J$52</v>
      </c>
      <c r="C180"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1" spans="1:3" x14ac:dyDescent="0.25">
      <c r="A181" s="374">
        <v>419</v>
      </c>
      <c r="B181" s="44" t="str">
        <f ca="1">CELL("address", Overhead!L$52)</f>
        <v>'[2025 ACEC-EFCG Key Financials Survey Form - BLANK (Unlocked).xlsx]Overhead'!$L$52</v>
      </c>
      <c r="C181"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2" spans="1:3" x14ac:dyDescent="0.25">
      <c r="A182" s="374">
        <v>425</v>
      </c>
      <c r="B182" s="44" t="str">
        <f ca="1">CELL("address", Overhead!H$54)</f>
        <v>'[2025 ACEC-EFCG Key Financials Survey Form - BLANK (Unlocked).xlsx]Overhead'!$H$54</v>
      </c>
      <c r="C182"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3" spans="1:3" x14ac:dyDescent="0.25">
      <c r="A183" s="374">
        <v>426</v>
      </c>
      <c r="B183" s="44" t="str">
        <f ca="1">CELL("address", Overhead!J$54)</f>
        <v>'[2025 ACEC-EFCG Key Financials Survey Form - BLANK (Unlocked).xlsx]Overhead'!$J$54</v>
      </c>
      <c r="C183"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4" spans="1:3" x14ac:dyDescent="0.25">
      <c r="A184" s="374">
        <v>423</v>
      </c>
      <c r="B184" s="44" t="str">
        <f ca="1">CELL("address", Overhead!L$54)</f>
        <v>'[2025 ACEC-EFCG Key Financials Survey Form - BLANK (Unlocked).xlsx]Overhead'!$L$54</v>
      </c>
      <c r="C184"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5" spans="1:3" x14ac:dyDescent="0.25">
      <c r="A185" s="374">
        <v>554</v>
      </c>
      <c r="B185" s="44" t="str">
        <f ca="1">CELL("address", Overhead!H$56)</f>
        <v>'[2025 ACEC-EFCG Key Financials Survey Form - BLANK (Unlocked).xlsx]Overhead'!$H$56</v>
      </c>
      <c r="C185"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6" spans="1:3" x14ac:dyDescent="0.25">
      <c r="A186" s="374">
        <v>555</v>
      </c>
      <c r="B186" s="44" t="str">
        <f ca="1">CELL("address", Overhead!J$56)</f>
        <v>'[2025 ACEC-EFCG Key Financials Survey Form - BLANK (Unlocked).xlsx]Overhead'!$J$56</v>
      </c>
      <c r="C186"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7" spans="1:3" x14ac:dyDescent="0.25">
      <c r="A187" s="374">
        <v>552</v>
      </c>
      <c r="B187" s="44" t="str">
        <f ca="1">CELL("address", Overhead!L$56)</f>
        <v>'[2025 ACEC-EFCG Key Financials Survey Form - BLANK (Unlocked).xlsx]Overhead'!$L$56</v>
      </c>
      <c r="C187"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8" spans="1:3" x14ac:dyDescent="0.25">
      <c r="A188" s="374">
        <v>638</v>
      </c>
      <c r="B188" s="44" t="str">
        <f ca="1">CELL("address", Overhead!H$58)</f>
        <v>'[2025 ACEC-EFCG Key Financials Survey Form - BLANK (Unlocked).xlsx]Overhead'!$H$58</v>
      </c>
      <c r="C188"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9" spans="1:3" x14ac:dyDescent="0.25">
      <c r="A189" s="374">
        <v>639</v>
      </c>
      <c r="B189" s="44" t="str">
        <f ca="1">CELL("address", Overhead!J$58)</f>
        <v>'[2025 ACEC-EFCG Key Financials Survey Form - BLANK (Unlocked).xlsx]Overhead'!$J$58</v>
      </c>
      <c r="C189"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90" spans="1:3" x14ac:dyDescent="0.25">
      <c r="A190" s="374">
        <v>637</v>
      </c>
      <c r="B190" s="44" t="str">
        <f ca="1">CELL("address", Overhead!L$58)</f>
        <v>'[2025 ACEC-EFCG Key Financials Survey Form - BLANK (Unlocked).xlsx]Overhead'!$L$58</v>
      </c>
      <c r="C190"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91" spans="1:3" x14ac:dyDescent="0.25">
      <c r="A191" s="374">
        <v>428</v>
      </c>
      <c r="B191" s="44" t="str">
        <f ca="1">CELL("address", Overhead!H$61)</f>
        <v>'[2025 ACEC-EFCG Key Financials Survey Form - BLANK (Unlocked).xlsx]Overhead'!$H$61</v>
      </c>
      <c r="C191" s="8" t="str">
        <f ca="1">IF(COUNT(INDEX(DB_Map[Survey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0)))=9,
           SUM(INDEX(DB_Map[Survey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 "")</f>
        <v/>
      </c>
    </row>
    <row r="192" spans="1:3" x14ac:dyDescent="0.25">
      <c r="A192" s="374">
        <v>429</v>
      </c>
      <c r="B192" s="44" t="str">
        <f ca="1">CELL("address", Overhead!J$61)</f>
        <v>'[2025 ACEC-EFCG Key Financials Survey Form - BLANK (Unlocked).xlsx]Overhead'!$J$61</v>
      </c>
      <c r="C192" s="8" t="str">
        <f ca="1">IF(COUNT(INDEX(DB_Map[Survey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0)))=9,
           SUM(INDEX(DB_Map[Survey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 "")</f>
        <v/>
      </c>
    </row>
    <row r="193" spans="1:3" x14ac:dyDescent="0.25">
      <c r="A193" s="374">
        <v>427</v>
      </c>
      <c r="B193" s="44" t="str">
        <f ca="1">CELL("address", Overhead!L$61)</f>
        <v>'[2025 ACEC-EFCG Key Financials Survey Form - BLANK (Unlocked).xlsx]Overhead'!$L$61</v>
      </c>
      <c r="C193" s="8" t="str">
        <f ca="1">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SUM(INDEX(DB_Map[Survey Form Value], MATCH(387, DB_Map[ID], 0)), INDEX(DB_Map[Survey Form Value], MATCH(391, DB_Map[ID], 0)),
                     INDEX(DB_Map[Survey Form Value], MATCH(399, DB_Map[ID], 0)), INDEX(DB_Map[Survey Form Value], MATCH(403, DB_Map[ID], 0)),
                     INDEX(DB_Map[Survey Form Value], MATCH(411, DB_Map[ID], 0)), INDEX(DB_Map[Survey Form Value], MATCH(419, DB_Map[ID], 0)),
                     INDEX(DB_Map[Survey Form Value], MATCH(423, DB_Map[ID], 0)), INDEX(DB_Map[Survey Form Value], MATCH(552, DB_Map[ID], 0)), INDEX(DB_Map[Survey Form Value], MATCH(637, DB_Map[ID], 0))), "")</f>
        <v/>
      </c>
    </row>
    <row r="194" spans="1:3" x14ac:dyDescent="0.25">
      <c r="A194" s="374">
        <v>550</v>
      </c>
      <c r="B194" s="44" t="str">
        <f ca="1">CELL("address", Overhead!H$36)</f>
        <v>'[2025 ACEC-EFCG Key Financials Survey Form - BLANK (Unlocked).xlsx]Overhead'!$H$36</v>
      </c>
      <c r="C194" s="8" t="str">
        <f ca="1">IF(ISNUMBER(INDEX(DB_Map[Survey Form Value], MATCH(551, DB_Map[ID], 0))), 0, "")</f>
        <v/>
      </c>
    </row>
    <row r="195" spans="1:3" x14ac:dyDescent="0.25">
      <c r="A195" s="374">
        <v>551</v>
      </c>
      <c r="B195" s="44" t="str">
        <f ca="1">CELL("address", Overhead!J$36)</f>
        <v>'[2025 ACEC-EFCG Key Financials Survey Form - BLANK (Unlocked).xlsx]Overhead'!$J$36</v>
      </c>
      <c r="C195" s="8" t="str">
        <f ca="1">IF(INDEX(ChecksTable[Status], MATCH(18, ChecksTable[ID], 0)),IF(INDIRECT(DB_Map[[#This Row],[Location]])&lt;&gt;"", INDIRECT(DB_Map[[#This Row],[Location]]), ""), "")</f>
        <v/>
      </c>
    </row>
    <row r="196" spans="1:3" x14ac:dyDescent="0.25">
      <c r="A196" s="374">
        <v>548</v>
      </c>
      <c r="B196" s="44" t="str">
        <f ca="1">CELL("address", Overhead!L$36)</f>
        <v>'[2025 ACEC-EFCG Key Financials Survey Form - BLANK (Unlocked).xlsx]Overhead'!$L$36</v>
      </c>
      <c r="C196" s="8" t="str">
        <f ca="1">IF(ISNUMBER(INDEX(DB_Map[Survey Form Value], MATCH(551, DB_Map[ID], 0))), INDEX(DB_Map[Survey Form Value], MATCH(551, DB_Map[ID], 0)), "")</f>
        <v/>
      </c>
    </row>
    <row r="197" spans="1:3" x14ac:dyDescent="0.25">
      <c r="A197" s="374">
        <v>397</v>
      </c>
      <c r="B197" s="44" t="str">
        <f ca="1">CELL("address", Overhead!H$40)</f>
        <v>'[2025 ACEC-EFCG Key Financials Survey Form - BLANK (Unlocked).xlsx]Overhead'!$H$40</v>
      </c>
      <c r="C197" s="8" t="str">
        <f ca="1">IF(ISNUMBER(INDEX(DB_Map[Survey Form Value], MATCH(398, DB_Map[ID], 0))), 0, "")</f>
        <v/>
      </c>
    </row>
    <row r="198" spans="1:3" x14ac:dyDescent="0.25">
      <c r="A198" s="374">
        <v>398</v>
      </c>
      <c r="B198" s="44" t="str">
        <f ca="1">CELL("address", Overhead!J$40)</f>
        <v>'[2025 ACEC-EFCG Key Financials Survey Form - BLANK (Unlocked).xlsx]Overhead'!$J$40</v>
      </c>
      <c r="C198" s="8" t="str">
        <f ca="1">IF(INDEX(ChecksTable[Status], MATCH(20, ChecksTable[ID], 0)),IF(INDIRECT(DB_Map[[#This Row],[Location]])&lt;&gt;"", INDIRECT(DB_Map[[#This Row],[Location]]), ""), "")</f>
        <v/>
      </c>
    </row>
    <row r="199" spans="1:3" x14ac:dyDescent="0.25">
      <c r="A199" s="374">
        <v>395</v>
      </c>
      <c r="B199" s="44" t="str">
        <f ca="1">CELL("address", Overhead!L$40)</f>
        <v>'[2025 ACEC-EFCG Key Financials Survey Form - BLANK (Unlocked).xlsx]Overhead'!$L$40</v>
      </c>
      <c r="C199" s="8" t="str">
        <f ca="1">IF(ISNUMBER(INDEX(DB_Map[Survey Form Value], MATCH(398, DB_Map[ID], 0))), INDEX(DB_Map[Survey Form Value], MATCH(398, DB_Map[ID], 0)), "")</f>
        <v/>
      </c>
    </row>
    <row r="200" spans="1:3" x14ac:dyDescent="0.25">
      <c r="A200" s="374">
        <v>409</v>
      </c>
      <c r="B200" s="44" t="str">
        <f ca="1">CELL("address", Overhead!H$46)</f>
        <v>'[2025 ACEC-EFCG Key Financials Survey Form - BLANK (Unlocked).xlsx]Overhead'!$H$46</v>
      </c>
      <c r="C200" s="8" t="str" cm="1">
        <f t="array" aca="1" ref="C200" ca="1">IF(INDEX(ChecksTable[Status], MATCH(23, ChecksTable[ID], 0)),
         IF(INDIRECT(DB_Map[[#This Row],[Location]])&lt;&gt;"", INDIRECT(DB_Map[[#This Row],[Location]]),
             IF(COUNT(INDIRECT(INDEX(DB_Map[Location], MATCH(409, DB_Map[ID], 0))), INDIRECT(INDEX(DB_Map[Location], MATCH(410, DB_Map[ID], 0))))&gt;0, 0, "")), "")</f>
        <v/>
      </c>
    </row>
    <row r="201" spans="1:3" x14ac:dyDescent="0.25">
      <c r="A201" s="374">
        <v>410</v>
      </c>
      <c r="B201" s="44" t="str">
        <f ca="1">CELL("address", Overhead!J$46)</f>
        <v>'[2025 ACEC-EFCG Key Financials Survey Form - BLANK (Unlocked).xlsx]Overhead'!$J$46</v>
      </c>
      <c r="C201" s="8" t="str" cm="1">
        <f t="array" aca="1" ref="C201" ca="1">IF(INDEX(ChecksTable[Status], MATCH(23, ChecksTable[ID], 0)),
         IF(INDIRECT(DB_Map[[#This Row],[Location]])&lt;&gt;"", INDIRECT(DB_Map[[#This Row],[Location]]),
             IF(COUNT(INDIRECT(INDEX(DB_Map[Location], MATCH(409, DB_Map[ID], 0))), INDIRECT(INDEX(DB_Map[Location], MATCH(410, DB_Map[ID], 0))))&gt;0, 0, "")), "")</f>
        <v/>
      </c>
    </row>
    <row r="202" spans="1:3" x14ac:dyDescent="0.25">
      <c r="A202" s="374">
        <v>407</v>
      </c>
      <c r="B202" s="44" t="str">
        <f ca="1">CELL("address", Overhead!L$46)</f>
        <v>'[2025 ACEC-EFCG Key Financials Survey Form - BLANK (Unlocked).xlsx]Overhead'!$L$46</v>
      </c>
      <c r="C202" s="8" t="str">
        <f ca="1">IF(INDEX(ChecksTable[Status], MATCH(23, ChecksTable[ID], 0)),
   IF(COUNT(INDEX(DB_Map[Survey Form Value], MATCH(409, DB_Map[ID], 0)), INDEX(DB_Map[Survey Form Value], MATCH(410, DB_Map[ID], 0)))&gt;0,
          SUM(INDEX(DB_Map[Survey Form Value], MATCH(409, DB_Map[ID], 0)), INDEX(DB_Map[Survey Form Value], MATCH(410, DB_Map[ID], 0))), ""), "")</f>
        <v/>
      </c>
    </row>
    <row r="203" spans="1:3" x14ac:dyDescent="0.25">
      <c r="A203" s="374">
        <v>417</v>
      </c>
      <c r="B203" s="44" t="str">
        <f ca="1">CELL("address", Overhead!H$50)</f>
        <v>'[2025 ACEC-EFCG Key Financials Survey Form - BLANK (Unlocked).xlsx]Overhead'!$H$50</v>
      </c>
      <c r="C203" s="8" t="str" cm="1">
        <f t="array" aca="1" ref="C203" ca="1">IF(INDEX(ChecksTable[Status], MATCH(25, ChecksTable[ID], 0)),
         IF(INDIRECT(DB_Map[[#This Row],[Location]])&lt;&gt;"", INDIRECT(DB_Map[[#This Row],[Location]]),
             IF(COUNT(INDIRECT(INDEX(DB_Map[Location], MATCH(417, DB_Map[ID], 0))), INDIRECT(INDEX(DB_Map[Location], MATCH(418, DB_Map[ID], 0))))&gt;0, 0, "")), "")</f>
        <v/>
      </c>
    </row>
    <row r="204" spans="1:3" x14ac:dyDescent="0.25">
      <c r="A204" s="374">
        <v>418</v>
      </c>
      <c r="B204" s="44" t="str">
        <f ca="1">CELL("address", Overhead!J$50)</f>
        <v>'[2025 ACEC-EFCG Key Financials Survey Form - BLANK (Unlocked).xlsx]Overhead'!$J$50</v>
      </c>
      <c r="C204" s="8" t="str" cm="1">
        <f t="array" aca="1" ref="C204" ca="1">IF(INDEX(ChecksTable[Status], MATCH(25, ChecksTable[ID], 0)),
         IF(INDIRECT(DB_Map[[#This Row],[Location]])&lt;&gt;"", INDIRECT(DB_Map[[#This Row],[Location]]),
             IF(COUNT(INDIRECT(INDEX(DB_Map[Location], MATCH(417, DB_Map[ID], 0))), INDIRECT(INDEX(DB_Map[Location], MATCH(418, DB_Map[ID], 0))))&gt;0, 0, "")), "")</f>
        <v/>
      </c>
    </row>
    <row r="205" spans="1:3" x14ac:dyDescent="0.25">
      <c r="A205" s="374">
        <v>415</v>
      </c>
      <c r="B205" s="44" t="str">
        <f ca="1">CELL("address", Overhead!L$50)</f>
        <v>'[2025 ACEC-EFCG Key Financials Survey Form - BLANK (Unlocked).xlsx]Overhead'!$L$50</v>
      </c>
      <c r="C205" s="8" t="str">
        <f ca="1">IF(INDEX(ChecksTable[Status], MATCH(25, ChecksTable[ID], 0)),
   IF(COUNT(INDEX(DB_Map[Survey Form Value], MATCH(417, DB_Map[ID], 0)), INDEX(DB_Map[Survey Form Value], MATCH(418, DB_Map[ID], 0)))&gt;0,
          SUM(INDEX(DB_Map[Survey Form Value], MATCH(417, DB_Map[ID], 0)), INDEX(DB_Map[Survey Form Value], MATCH(418, DB_Map[ID], 0))), ""), "")</f>
        <v/>
      </c>
    </row>
    <row r="206" spans="1:3" x14ac:dyDescent="0.25">
      <c r="A206" s="374">
        <v>430</v>
      </c>
      <c r="B206" s="44" t="str">
        <f ca="1">CELL("address", Overhead!G$67)</f>
        <v>'[2025 ACEC-EFCG Key Financials Survey Form - BLANK (Unlocked).xlsx]Overhead'!$G$67</v>
      </c>
      <c r="C206"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7" spans="1:3" x14ac:dyDescent="0.25">
      <c r="A207" s="374">
        <v>431</v>
      </c>
      <c r="B207" s="44" t="str">
        <f ca="1">CELL("address", Overhead!L$67)</f>
        <v>'[2025 ACEC-EFCG Key Financials Survey Form - BLANK (Unlocked).xlsx]Overhead'!$L$67</v>
      </c>
      <c r="C207"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8" spans="1:3" x14ac:dyDescent="0.25">
      <c r="A208" s="374">
        <v>432</v>
      </c>
      <c r="B208" s="44" t="str">
        <f ca="1">CELL("address", Overhead!G$69)</f>
        <v>'[2025 ACEC-EFCG Key Financials Survey Form - BLANK (Unlocked).xlsx]Overhead'!$G$69</v>
      </c>
      <c r="C208"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9" spans="1:3" x14ac:dyDescent="0.25">
      <c r="A209" s="374">
        <v>438</v>
      </c>
      <c r="B209" s="44" t="str">
        <f ca="1">CELL("address", Overhead!L$69)</f>
        <v>'[2025 ACEC-EFCG Key Financials Survey Form - BLANK (Unlocked).xlsx]Overhead'!$L$69</v>
      </c>
      <c r="C209"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0" spans="1:3" x14ac:dyDescent="0.25">
      <c r="A210" s="374">
        <v>433</v>
      </c>
      <c r="B210" s="44" t="str">
        <f ca="1">CELL("address", Overhead!G$71)</f>
        <v>'[2025 ACEC-EFCG Key Financials Survey Form - BLANK (Unlocked).xlsx]Overhead'!$G$71</v>
      </c>
      <c r="C210"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1" spans="1:3" x14ac:dyDescent="0.25">
      <c r="A211" s="374">
        <v>434</v>
      </c>
      <c r="B211" s="44" t="str">
        <f ca="1">CELL("address", Overhead!L$71)</f>
        <v>'[2025 ACEC-EFCG Key Financials Survey Form - BLANK (Unlocked).xlsx]Overhead'!$L$71</v>
      </c>
      <c r="C211" s="8"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2" spans="1:3" x14ac:dyDescent="0.25">
      <c r="A212" s="374">
        <v>435</v>
      </c>
      <c r="B212" s="44" t="s">
        <v>206</v>
      </c>
      <c r="C212" s="8"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3" spans="1:3" x14ac:dyDescent="0.25">
      <c r="A213" s="374">
        <v>436</v>
      </c>
      <c r="B213" s="44" t="s">
        <v>206</v>
      </c>
      <c r="C213" s="8" t="str">
        <f ca="1">IF(COUNT(INDIRECT(INDEX(DB_Map[Location], MATCH(430, DB_Map[ID], 0))),
                      INDIRECT(INDEX(DB_Map[Location], MATCH(431, DB_Map[ID], 0))),
                      INDIRECT(INDEX(DB_Map[Location], MATCH(432, DB_Map[ID], 0))),
                      INDIRECT(INDEX(DB_Map[Location], MATCH(433, DB_Map[ID], 0))),
                      INDIRECT(INDEX(DB_Map[Location], MATCH(438, DB_Map[ID], 0))))&gt;0, 0, "")</f>
        <v/>
      </c>
    </row>
    <row r="214" spans="1:3" x14ac:dyDescent="0.25">
      <c r="A214" s="374">
        <v>437</v>
      </c>
      <c r="B214" s="44" t="str">
        <f ca="1">CELL("address", Overhead!G$77)</f>
        <v>'[2025 ACEC-EFCG Key Financials Survey Form - BLANK (Unlocked).xlsx]Overhead'!$G$77</v>
      </c>
      <c r="C214"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5" spans="1:3" x14ac:dyDescent="0.25">
      <c r="A215" s="374">
        <v>439</v>
      </c>
      <c r="B215" s="44" t="str">
        <f ca="1">CELL("address", Overhead!G$79)</f>
        <v>'[2025 ACEC-EFCG Key Financials Survey Form - BLANK (Unlocked).xlsx]Overhead'!$G$79</v>
      </c>
      <c r="C215"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6" spans="1:3" x14ac:dyDescent="0.25">
      <c r="A216" s="374">
        <v>441</v>
      </c>
      <c r="B216" s="44" t="str">
        <f ca="1">CELL("address", Overhead!L$77)</f>
        <v>'[2025 ACEC-EFCG Key Financials Survey Form - BLANK (Unlocked).xlsx]Overhead'!$L$77</v>
      </c>
      <c r="C216"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7" spans="1:3" x14ac:dyDescent="0.25">
      <c r="A217" s="374">
        <v>442</v>
      </c>
      <c r="B217" s="44" t="str">
        <f ca="1">CELL("address", Overhead!L$79)</f>
        <v>'[2025 ACEC-EFCG Key Financials Survey Form - BLANK (Unlocked).xlsx]Overhead'!$L$79</v>
      </c>
      <c r="C217"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8" spans="1:3" x14ac:dyDescent="0.25">
      <c r="A218" s="374">
        <v>443</v>
      </c>
      <c r="B218" s="44" t="str">
        <f ca="1">CELL("address", Overhead!G$81)</f>
        <v>'[2025 ACEC-EFCG Key Financials Survey Form - BLANK (Unlocked).xlsx]Overhead'!$G$81</v>
      </c>
      <c r="C218"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9" spans="1:3" x14ac:dyDescent="0.25">
      <c r="A219" s="374">
        <v>440</v>
      </c>
      <c r="B219" s="44" t="s">
        <v>206</v>
      </c>
      <c r="C219"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MATCH(441, DB_Map[ID], 0)), INDEX(DB_Map[Survey Form Value], MATCH(442, DB_Map[ID], 0))), "")</f>
        <v/>
      </c>
    </row>
    <row r="220" spans="1:3" x14ac:dyDescent="0.25">
      <c r="A220" s="374">
        <v>444</v>
      </c>
      <c r="B220" s="44" t="str">
        <f ca="1">CELL("address", Overhead!L$81)</f>
        <v>'[2025 ACEC-EFCG Key Financials Survey Form - BLANK (Unlocked).xlsx]Overhead'!$L$81</v>
      </c>
      <c r="C220"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1" spans="1:3" x14ac:dyDescent="0.25">
      <c r="A221" s="374">
        <v>445</v>
      </c>
      <c r="B221" s="44" t="s">
        <v>206</v>
      </c>
      <c r="C221" s="8" t="str">
        <f ca="1">IF(COUNT(INDIRECT(INDEX(DB_Map[Location], MATCH(437, DB_Map[ID], 0))),
                      INDIRECT(INDEX(DB_Map[Location], MATCH(439, DB_Map[ID], 0))),
                      INDIRECT(INDEX(DB_Map[Location], MATCH(441, DB_Map[ID], 0))),
                      INDIRECT(INDEX(DB_Map[Location], MATCH(442, DB_Map[ID], 0))),
                      INDIRECT(INDEX(DB_Map[Location], MATCH(443, DB_Map[ID], 0))))&gt;0, 0, "")</f>
        <v/>
      </c>
    </row>
    <row r="222" spans="1:3" x14ac:dyDescent="0.25">
      <c r="A222" s="374">
        <v>446</v>
      </c>
      <c r="B222" s="44" t="s">
        <v>206</v>
      </c>
      <c r="C222"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3" spans="1:3" x14ac:dyDescent="0.25">
      <c r="A223" s="374">
        <v>447</v>
      </c>
      <c r="B223" s="44" t="str">
        <f ca="1">CELL("address", Overhead!G$87)</f>
        <v>'[2025 ACEC-EFCG Key Financials Survey Form - BLANK (Unlocked).xlsx]Overhead'!$G$87</v>
      </c>
      <c r="C223"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4" spans="1:3" x14ac:dyDescent="0.25">
      <c r="A224" s="374">
        <v>448</v>
      </c>
      <c r="B224" s="44" t="str">
        <f ca="1">CELL("address", Overhead!G$89)</f>
        <v>'[2025 ACEC-EFCG Key Financials Survey Form - BLANK (Unlocked).xlsx]Overhead'!$G$89</v>
      </c>
      <c r="C224"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5" spans="1:3" x14ac:dyDescent="0.25">
      <c r="A225" s="374">
        <v>449</v>
      </c>
      <c r="B225" s="44" t="str">
        <f ca="1">CELL("address", Overhead!G$93)</f>
        <v>'[2025 ACEC-EFCG Key Financials Survey Form - BLANK (Unlocked).xlsx]Overhead'!$G$93</v>
      </c>
      <c r="C225"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6" spans="1:3" x14ac:dyDescent="0.25">
      <c r="A226" s="374">
        <v>450</v>
      </c>
      <c r="B226" s="44" t="str">
        <f ca="1">CELL("address", Overhead!G$91)</f>
        <v>'[2025 ACEC-EFCG Key Financials Survey Form - BLANK (Unlocked).xlsx]Overhead'!$G$91</v>
      </c>
      <c r="C226"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7" spans="1:3" x14ac:dyDescent="0.25">
      <c r="A227" s="374">
        <v>451</v>
      </c>
      <c r="B227" s="44" t="str">
        <f ca="1">CELL("address", Overhead!L$87)</f>
        <v>'[2025 ACEC-EFCG Key Financials Survey Form - BLANK (Unlocked).xlsx]Overhead'!$L$87</v>
      </c>
      <c r="C227"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8" spans="1:3" x14ac:dyDescent="0.25">
      <c r="A228" s="374">
        <v>452</v>
      </c>
      <c r="B228" s="44" t="str">
        <f ca="1">CELL("address", Overhead!L$89)</f>
        <v>'[2025 ACEC-EFCG Key Financials Survey Form - BLANK (Unlocked).xlsx]Overhead'!$L$89</v>
      </c>
      <c r="C228"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9" spans="1:3" x14ac:dyDescent="0.25">
      <c r="A229" s="374">
        <v>453</v>
      </c>
      <c r="B229" s="44" t="str">
        <f ca="1">CELL("address", Overhead!L$91)</f>
        <v>'[2025 ACEC-EFCG Key Financials Survey Form - BLANK (Unlocked).xlsx]Overhead'!$L$91</v>
      </c>
      <c r="C229"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30" spans="1:3" x14ac:dyDescent="0.25">
      <c r="A230" s="374">
        <v>454</v>
      </c>
      <c r="B230" s="44" t="str">
        <f ca="1">CELL("address", Overhead!L$93)</f>
        <v>'[2025 ACEC-EFCG Key Financials Survey Form - BLANK (Unlocked).xlsx]Overhead'!$L$93</v>
      </c>
      <c r="C230"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1" spans="1:3" x14ac:dyDescent="0.25">
      <c r="A231" s="374">
        <v>455</v>
      </c>
      <c r="B231" s="44" t="s">
        <v>206</v>
      </c>
      <c r="C231"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0, "")</f>
        <v/>
      </c>
    </row>
    <row r="232" spans="1:3" x14ac:dyDescent="0.25">
      <c r="A232" s="374">
        <v>456</v>
      </c>
      <c r="B232" s="44" t="s">
        <v>206</v>
      </c>
      <c r="C232"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3" spans="1:3" x14ac:dyDescent="0.25">
      <c r="A233" s="374">
        <v>458</v>
      </c>
      <c r="B233" s="44" t="str">
        <f ca="1">CELL("address", Overhead!L$100)</f>
        <v>'[2025 ACEC-EFCG Key Financials Survey Form - BLANK (Unlocked).xlsx]Overhead'!$L$100</v>
      </c>
      <c r="C233" s="8" t="str">
        <f ca="1">IF(COUNT(INDEX(DB_Map[Survey Form Value], MATCH(428, DB_Map[ID], 0)),
                     INDEX(DB_Map[Survey Form Value], MATCH(435, DB_Map[ID], 0)),
                     INDEX(DB_Map[Survey Form Value], MATCH(445, DB_Map[ID], 0)),
                     INDEX(DB_Map[Survey Form Value], MATCH(455, DB_Map[ID], 0)))=4,
      SUM(INDEX(DB_Map[Survey Form Value], MATCH(428, DB_Map[ID], 0)),
                INDEX(DB_Map[Survey Form Value], MATCH(435, DB_Map[ID], 0)),
                INDEX(DB_Map[Survey Form Value], MATCH(445, DB_Map[ID], 0)),
                INDEX(DB_Map[Survey Form Value], MATCH(455, DB_Map[ID], 0))), "")</f>
        <v/>
      </c>
    </row>
    <row r="234" spans="1:3" x14ac:dyDescent="0.25">
      <c r="A234" s="374">
        <v>459</v>
      </c>
      <c r="B234" s="44" t="str">
        <f ca="1">CELL("address", Overhead!L$102)</f>
        <v>'[2025 ACEC-EFCG Key Financials Survey Form - BLANK (Unlocked).xlsx]Overhead'!$L$102</v>
      </c>
      <c r="C234" s="8" t="str">
        <f ca="1">IF(COUNT(INDEX(DB_Map[Survey Form Value], MATCH(429, DB_Map[ID], 0)),
                     INDEX(DB_Map[Survey Form Value], MATCH(436, DB_Map[ID], 0)),
                     INDEX(DB_Map[Survey Form Value], MATCH(446, DB_Map[ID], 0)),
                     INDEX(DB_Map[Survey Form Value], MATCH(456, DB_Map[ID], 0)))=4,
      SUM(INDEX(DB_Map[Survey Form Value], MATCH(429, DB_Map[ID], 0)),
                INDEX(DB_Map[Survey Form Value], MATCH(436, DB_Map[ID], 0)),
                INDEX(DB_Map[Survey Form Value], MATCH(446, DB_Map[ID], 0)),
                INDEX(DB_Map[Survey Form Value], MATCH(456, DB_Map[ID], 0))), "")</f>
        <v/>
      </c>
    </row>
    <row r="235" spans="1:3" x14ac:dyDescent="0.25">
      <c r="A235" s="374">
        <v>457</v>
      </c>
      <c r="B235" s="44" t="str">
        <f ca="1">CELL("address", Overhead!L$105)</f>
        <v>'[2025 ACEC-EFCG Key Financials Survey Form - BLANK (Unlocked).xlsx]Overhead'!$L$105</v>
      </c>
      <c r="C235" s="8" t="str">
        <f ca="1">IF(COUNT(INDEX(DB_Map[Survey Form Value], MATCH(427, DB_Map[ID], 0)),
                     INDEX(DB_Map[Survey Form Value], MATCH(434, DB_Map[ID], 0)),
                     INDEX(DB_Map[Survey Form Value], MATCH(444, DB_Map[ID], 0)),
                     INDEX(DB_Map[Survey Form Value], MATCH(454, DB_Map[ID], 0)))=4,
      SUM(INDEX(DB_Map[Survey Form Value], MATCH(427, DB_Map[ID], 0)),
                INDEX(DB_Map[Survey Form Value], MATCH(434, DB_Map[ID], 0)),
                INDEX(DB_Map[Survey Form Value], MATCH(444, DB_Map[ID], 0)),
                INDEX(DB_Map[Survey Form Value], MATCH(454, DB_Map[ID], 0))), "")</f>
        <v/>
      </c>
    </row>
    <row r="236" spans="1:3" x14ac:dyDescent="0.25">
      <c r="A236" s="374">
        <v>460</v>
      </c>
      <c r="B236" s="44" t="s">
        <v>206</v>
      </c>
      <c r="C236" s="8" t="str">
        <f ca="1">IF(AND(ISNUMBER(INDEX(DB_Map[Survey Form Value], MATCH(457, DB_Map[ID], 0))),
                 ISNUMBER(INDEX(DB_Map[Survey Form Value], MATCH(36, DB_Map[ID], 0))),
                 INDEX(DB_Map[Survey Form Value], MATCH(36, DB_Map[ID], 0))&gt;0),
      INDEX(DB_Map[Survey Form Value], MATCH(457, DB_Map[ID], 0))/INDEX(DB_Map[Survey Form Value], MATCH(36, DB_Map[ID], 0)), "")</f>
        <v/>
      </c>
    </row>
    <row r="237" spans="1:3" x14ac:dyDescent="0.25">
      <c r="A237" s="374">
        <v>641</v>
      </c>
      <c r="B237" s="44" t="s">
        <v>206</v>
      </c>
      <c r="C237" s="8" t="str">
        <f ca="1">IF(COUNT(INDEX(DB_Map[Survey Form Value], MATCH(33, DB_Map[ID], 0)),
                     INDEX(DB_Map[Survey Form Value], MATCH(36, DB_Map[ID], 0)),
                     INDEX(DB_Map[Survey Form Value], MATCH(457, DB_Map[ID], 0)))=3,
         INDEX(DB_Map[Survey Form Value], MATCH(33, DB_Map[ID], 0))
               -SUM(INDEX(DB_Map[Survey Form Value], MATCH(36, DB_Map[ID], 0)),
                          INDEX(DB_Map[Survey Form Value], MATCH(457, DB_Map[ID], 0))), "")</f>
        <v/>
      </c>
    </row>
    <row r="238" spans="1:3" x14ac:dyDescent="0.25">
      <c r="A238" s="374">
        <v>634</v>
      </c>
      <c r="B238" s="44" t="s">
        <v>206</v>
      </c>
      <c r="C238" s="8" t="b">
        <f ca="1">COUNT(INDEX(DB_Map[Survey Form Value], MATCH(427, DB_Map[ID], 0)),
                     INDEX(DB_Map[Survey Form Value], MATCH(434, DB_Map[ID], 0)),
                     INDEX(DB_Map[Survey Form Value], MATCH(444, DB_Map[ID], 0)),
                     INDEX(DB_Map[Survey Form Value], MATCH(454, DB_Map[ID], 0)))=4</f>
        <v>0</v>
      </c>
    </row>
    <row r="239" spans="1:3" x14ac:dyDescent="0.25">
      <c r="A239" s="374">
        <v>640</v>
      </c>
      <c r="B239" s="44" t="s">
        <v>206</v>
      </c>
      <c r="C239" s="8" t="b">
        <v>1</v>
      </c>
    </row>
    <row r="240" spans="1:3" x14ac:dyDescent="0.25">
      <c r="A240" s="374">
        <v>150</v>
      </c>
      <c r="B240" s="44" t="str">
        <f ca="1">CELL("address", 'Revenue Details'!$E$13)</f>
        <v>'[2025 ACEC-EFCG Key Financials Survey Form - BLANK (Unlocked).xlsx]Revenue Details'!$E$13</v>
      </c>
      <c r="C240"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1" spans="1:3" x14ac:dyDescent="0.25">
      <c r="A241" s="374">
        <v>151</v>
      </c>
      <c r="B241" s="44" t="str">
        <f ca="1">CELL("address", 'Revenue Details'!$H$13)</f>
        <v>'[2025 ACEC-EFCG Key Financials Survey Form - BLANK (Unlocked).xlsx]Revenue Details'!$H$13</v>
      </c>
      <c r="C241"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2" spans="1:3" x14ac:dyDescent="0.25">
      <c r="A242" s="374">
        <v>152</v>
      </c>
      <c r="B242" s="44" t="str">
        <f ca="1">CELL("address", 'Revenue Details'!$K$13)</f>
        <v>'[2025 ACEC-EFCG Key Financials Survey Form - BLANK (Unlocked).xlsx]Revenue Details'!$K$13</v>
      </c>
      <c r="C242"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3" spans="1:3" x14ac:dyDescent="0.25">
      <c r="A243" s="374">
        <v>153</v>
      </c>
      <c r="B243" s="44" t="str">
        <f ca="1">CELL("address", 'Revenue Details'!$E$15)</f>
        <v>'[2025 ACEC-EFCG Key Financials Survey Form - BLANK (Unlocked).xlsx]Revenue Details'!$E$15</v>
      </c>
      <c r="C243"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4" spans="1:3" x14ac:dyDescent="0.25">
      <c r="A244" s="374">
        <v>154</v>
      </c>
      <c r="B244" s="44" t="str">
        <f ca="1">CELL("address", 'Revenue Details'!$H$15)</f>
        <v>'[2025 ACEC-EFCG Key Financials Survey Form - BLANK (Unlocked).xlsx]Revenue Details'!$H$15</v>
      </c>
      <c r="C244"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5" spans="1:3" x14ac:dyDescent="0.25">
      <c r="A245" s="374">
        <v>155</v>
      </c>
      <c r="B245" s="44" t="str">
        <f ca="1">CELL("address", 'Revenue Details'!$K$15)</f>
        <v>'[2025 ACEC-EFCG Key Financials Survey Form - BLANK (Unlocked).xlsx]Revenue Details'!$K$15</v>
      </c>
      <c r="C245"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6" spans="1:3" x14ac:dyDescent="0.25">
      <c r="A246" s="374">
        <v>156</v>
      </c>
      <c r="B246" s="44" t="str">
        <f ca="1">CELL("address", 'Revenue Details'!$E$17)</f>
        <v>'[2025 ACEC-EFCG Key Financials Survey Form - BLANK (Unlocked).xlsx]Revenue Details'!$E$17</v>
      </c>
      <c r="C246"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7" spans="1:3" x14ac:dyDescent="0.25">
      <c r="A247" s="374">
        <v>157</v>
      </c>
      <c r="B247" s="44" t="str">
        <f ca="1">CELL("address", 'Revenue Details'!$H$17)</f>
        <v>'[2025 ACEC-EFCG Key Financials Survey Form - BLANK (Unlocked).xlsx]Revenue Details'!$H$17</v>
      </c>
      <c r="C247"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8" spans="1:3" x14ac:dyDescent="0.25">
      <c r="A248" s="374">
        <v>158</v>
      </c>
      <c r="B248" s="44" t="str">
        <f ca="1">CELL("address", 'Revenue Details'!$K$17)</f>
        <v>'[2025 ACEC-EFCG Key Financials Survey Form - BLANK (Unlocked).xlsx]Revenue Details'!$K$17</v>
      </c>
      <c r="C248"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9" spans="1:3" x14ac:dyDescent="0.25">
      <c r="A249" s="374">
        <v>159</v>
      </c>
      <c r="B249" s="44" t="str">
        <f ca="1">CELL("address", 'Revenue Details'!$E$19)</f>
        <v>'[2025 ACEC-EFCG Key Financials Survey Form - BLANK (Unlocked).xlsx]Revenue Details'!$E$19</v>
      </c>
      <c r="C249"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0" spans="1:3" x14ac:dyDescent="0.25">
      <c r="A250" s="374">
        <v>593</v>
      </c>
      <c r="B250" s="44" t="str">
        <f ca="1">CELL("address", 'Revenue Details'!$H$19)</f>
        <v>'[2025 ACEC-EFCG Key Financials Survey Form - BLANK (Unlocked).xlsx]Revenue Details'!$H$19</v>
      </c>
      <c r="C250"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1" spans="1:3" x14ac:dyDescent="0.25">
      <c r="A251" s="374">
        <v>162</v>
      </c>
      <c r="B251" s="44" t="str">
        <f ca="1">CELL("address", 'Revenue Details'!$K$19)</f>
        <v>'[2025 ACEC-EFCG Key Financials Survey Form - BLANK (Unlocked).xlsx]Revenue Details'!$K$19</v>
      </c>
      <c r="C251"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2" spans="1:3" x14ac:dyDescent="0.25">
      <c r="A252" s="374">
        <v>163</v>
      </c>
      <c r="B252" s="44" t="str">
        <f ca="1">CELL("address", 'Revenue Details'!$M$19)</f>
        <v>'[2025 ACEC-EFCG Key Financials Survey Form - BLANK (Unlocked).xlsx]Revenue Details'!$M$19</v>
      </c>
      <c r="C252" s="8" t="str">
        <f ca="1">IF(INDIRECT(DB_Map[[#This Row],[Location]])&lt;&gt;"", INDIRECT(DB_Map[[#This Row],[Location]]), "")</f>
        <v/>
      </c>
    </row>
    <row r="253" spans="1:3" x14ac:dyDescent="0.25">
      <c r="A253" s="374">
        <v>263</v>
      </c>
      <c r="B253" s="44" t="str">
        <f ca="1">CELL("address", 'Revenue Details'!E$24)</f>
        <v>'[2025 ACEC-EFCG Key Financials Survey Form - BLANK (Unlocked).xlsx]Revenue Details'!$E$24</v>
      </c>
      <c r="C253"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4" spans="1:3" x14ac:dyDescent="0.25">
      <c r="A254" s="374">
        <v>264</v>
      </c>
      <c r="B254" s="44" t="str">
        <f ca="1">CELL("address", 'Revenue Details'!H$24)</f>
        <v>'[2025 ACEC-EFCG Key Financials Survey Form - BLANK (Unlocked).xlsx]Revenue Details'!$H$24</v>
      </c>
      <c r="C254"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5" spans="1:3" x14ac:dyDescent="0.25">
      <c r="A255" s="374">
        <v>265</v>
      </c>
      <c r="B255" s="44" t="str">
        <f ca="1">CELL("address", 'Revenue Details'!K$24)</f>
        <v>'[2025 ACEC-EFCG Key Financials Survey Form - BLANK (Unlocked).xlsx]Revenue Details'!$K$24</v>
      </c>
      <c r="C255"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6" spans="1:3" x14ac:dyDescent="0.25">
      <c r="A256" s="374">
        <v>266</v>
      </c>
      <c r="B256" s="44" t="str">
        <f ca="1">CELL("address", 'Revenue Details'!E$26)</f>
        <v>'[2025 ACEC-EFCG Key Financials Survey Form - BLANK (Unlocked).xlsx]Revenue Details'!$E$26</v>
      </c>
      <c r="C256"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7" spans="1:3" x14ac:dyDescent="0.25">
      <c r="A257" s="374">
        <v>267</v>
      </c>
      <c r="B257" s="44" t="str">
        <f ca="1">CELL("address", 'Revenue Details'!H$26)</f>
        <v>'[2025 ACEC-EFCG Key Financials Survey Form - BLANK (Unlocked).xlsx]Revenue Details'!$H$26</v>
      </c>
      <c r="C257"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8" spans="1:3" x14ac:dyDescent="0.25">
      <c r="A258" s="374">
        <v>268</v>
      </c>
      <c r="B258" s="44" t="s">
        <v>206</v>
      </c>
      <c r="C258" s="8" t="str">
        <f>IF(COUNT('Revenue Details'!$E$24, 'Revenue Details'!$H$24, 'Revenue Details'!$K$24, 'Revenue Details'!$E$26, 'Revenue Details'!$H$26,
                      'Revenue Details'!$K$26, 'Revenue Details'!$H$28, 'Revenue Details'!$E$28, 'Revenue Details'!$E$30, 'Revenue Details'!$H$30,
                      'Revenue Details'!$K$28, 'Revenue Details'!$K$30)&gt;0,
                      SUM('Revenue Details'!$K$26, 'Revenue Details'!$H$28)/'Revenue Details'!$M$22, "")</f>
        <v/>
      </c>
    </row>
    <row r="259" spans="1:3" x14ac:dyDescent="0.25">
      <c r="A259" s="374">
        <v>269</v>
      </c>
      <c r="B259" s="44" t="str">
        <f ca="1">CELL("address", 'Revenue Details'!K$26)</f>
        <v>'[2025 ACEC-EFCG Key Financials Survey Form - BLANK (Unlocked).xlsx]Revenue Details'!$K$26</v>
      </c>
      <c r="C259"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0" spans="1:3" x14ac:dyDescent="0.25">
      <c r="A260" s="374">
        <v>270</v>
      </c>
      <c r="B260" s="44" t="str">
        <f ca="1">CELL("address", 'Revenue Details'!H$28)</f>
        <v>'[2025 ACEC-EFCG Key Financials Survey Form - BLANK (Unlocked).xlsx]Revenue Details'!$H$28</v>
      </c>
      <c r="C260"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1" spans="1:3" x14ac:dyDescent="0.25">
      <c r="A261" s="374">
        <v>271</v>
      </c>
      <c r="B261" s="44" t="str">
        <f ca="1">CELL("address", 'Revenue Details'!E$28)</f>
        <v>'[2025 ACEC-EFCG Key Financials Survey Form - BLANK (Unlocked).xlsx]Revenue Details'!$E$28</v>
      </c>
      <c r="C261"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2" spans="1:3" x14ac:dyDescent="0.25">
      <c r="A262" s="374">
        <v>272</v>
      </c>
      <c r="B262" s="44" t="str">
        <f ca="1">CELL("address", 'Revenue Details'!E$30)</f>
        <v>'[2025 ACEC-EFCG Key Financials Survey Form - BLANK (Unlocked).xlsx]Revenue Details'!$E$30</v>
      </c>
      <c r="C262"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3" spans="1:3" x14ac:dyDescent="0.25">
      <c r="A263" s="374">
        <v>273</v>
      </c>
      <c r="B263" s="44" t="str">
        <f ca="1">CELL("address", 'Revenue Details'!H$30)</f>
        <v>'[2025 ACEC-EFCG Key Financials Survey Form - BLANK (Unlocked).xlsx]Revenue Details'!$H$30</v>
      </c>
      <c r="C263"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4" spans="1:3" x14ac:dyDescent="0.25">
      <c r="A264" s="374">
        <v>274</v>
      </c>
      <c r="B264" s="44" t="str">
        <f ca="1">CELL("address", 'Revenue Details'!K$28)</f>
        <v>'[2025 ACEC-EFCG Key Financials Survey Form - BLANK (Unlocked).xlsx]Revenue Details'!$K$28</v>
      </c>
      <c r="C264"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5" spans="1:3" x14ac:dyDescent="0.25">
      <c r="A265" s="374">
        <v>275</v>
      </c>
      <c r="B265" s="44" t="str">
        <f ca="1">CELL("address", 'Revenue Details'!K$30)</f>
        <v>'[2025 ACEC-EFCG Key Financials Survey Form - BLANK (Unlocked).xlsx]Revenue Details'!$K$30</v>
      </c>
      <c r="C265"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6" spans="1:3" x14ac:dyDescent="0.25">
      <c r="A266" s="374">
        <v>276</v>
      </c>
      <c r="B266" s="44" t="str">
        <f ca="1">CELL("address", 'Revenue Details'!M$30)</f>
        <v>'[2025 ACEC-EFCG Key Financials Survey Form - BLANK (Unlocked).xlsx]Revenue Details'!$M$30</v>
      </c>
      <c r="C266" s="8" t="str">
        <f ca="1">IF(INDIRECT(DB_Map[[#This Row],[Location]])&lt;&gt;"", INDIRECT(DB_Map[[#This Row],[Location]]), "")</f>
        <v/>
      </c>
    </row>
    <row r="267" spans="1:3" x14ac:dyDescent="0.25">
      <c r="A267" s="374">
        <v>312</v>
      </c>
      <c r="B267" s="44" t="str">
        <f ca="1">CELL("address", 'Revenue Details'!E$35)</f>
        <v>'[2025 ACEC-EFCG Key Financials Survey Form - BLANK (Unlocked).xlsx]Revenue Details'!$E$35</v>
      </c>
      <c r="C267" s="8" t="str">
        <f ca="1">IF(COUNT('Revenue Details'!$E$35, 'Revenue Details'!$G$35, 'Revenue Details'!$I$35, 'Revenue Details'!$K$35, 'Revenue Details'!$M$35)&gt;0,
                      IF(INDIRECT(DB_Map[[#This Row],[Location]])&lt;&gt;"", INDIRECT(DB_Map[[#This Row],[Location]])/'Revenue Details'!$M$33, 0), "")</f>
        <v/>
      </c>
    </row>
    <row r="268" spans="1:3" x14ac:dyDescent="0.25">
      <c r="A268" s="374">
        <v>313</v>
      </c>
      <c r="B268" s="44" t="str">
        <f ca="1">CELL("address", 'Revenue Details'!G$35)</f>
        <v>'[2025 ACEC-EFCG Key Financials Survey Form - BLANK (Unlocked).xlsx]Revenue Details'!$G$35</v>
      </c>
      <c r="C268" s="8" t="str">
        <f ca="1">IF(COUNT('Revenue Details'!$E$35, 'Revenue Details'!$G$35, 'Revenue Details'!$I$35, 'Revenue Details'!$K$35, 'Revenue Details'!$M$35)&gt;0,
                      IF(INDIRECT(DB_Map[[#This Row],[Location]])&lt;&gt;"", INDIRECT(DB_Map[[#This Row],[Location]])/'Revenue Details'!$M$33, 0), "")</f>
        <v/>
      </c>
    </row>
    <row r="269" spans="1:3" x14ac:dyDescent="0.25">
      <c r="A269" s="374">
        <v>314</v>
      </c>
      <c r="B269" s="44" t="str">
        <f ca="1">CELL("address", 'Revenue Details'!I$35)</f>
        <v>'[2025 ACEC-EFCG Key Financials Survey Form - BLANK (Unlocked).xlsx]Revenue Details'!$I$35</v>
      </c>
      <c r="C269" s="8" t="str">
        <f ca="1">IF(COUNT('Revenue Details'!$E$35, 'Revenue Details'!$G$35, 'Revenue Details'!$I$35, 'Revenue Details'!$K$35, 'Revenue Details'!$M$35)&gt;0,
                      IF(INDIRECT(DB_Map[[#This Row],[Location]])&lt;&gt;"", INDIRECT(DB_Map[[#This Row],[Location]])/'Revenue Details'!$M$33, 0), "")</f>
        <v/>
      </c>
    </row>
    <row r="270" spans="1:3" x14ac:dyDescent="0.25">
      <c r="A270" s="374">
        <v>315</v>
      </c>
      <c r="B270" s="44" t="str">
        <f ca="1">CELL("address", 'Revenue Details'!K$35)</f>
        <v>'[2025 ACEC-EFCG Key Financials Survey Form - BLANK (Unlocked).xlsx]Revenue Details'!$K$35</v>
      </c>
      <c r="C270" s="8" t="str">
        <f ca="1">IF(COUNT('Revenue Details'!$E$35, 'Revenue Details'!$G$35, 'Revenue Details'!$I$35, 'Revenue Details'!$K$35, 'Revenue Details'!$M$35)&gt;0,
                      IF(INDIRECT(DB_Map[[#This Row],[Location]])&lt;&gt;"", INDIRECT(DB_Map[[#This Row],[Location]])/'Revenue Details'!$M$33, 0), "")</f>
        <v/>
      </c>
    </row>
    <row r="271" spans="1:3" x14ac:dyDescent="0.25">
      <c r="A271" s="374">
        <v>316</v>
      </c>
      <c r="B271" s="44" t="str">
        <f ca="1">CELL("address", 'Revenue Details'!M$35)</f>
        <v>'[2025 ACEC-EFCG Key Financials Survey Form - BLANK (Unlocked).xlsx]Revenue Details'!$M$35</v>
      </c>
      <c r="C271" s="8" t="str">
        <f ca="1">IF(COUNT('Revenue Details'!$E$35, 'Revenue Details'!$G$35, 'Revenue Details'!$I$35, 'Revenue Details'!$K$35, 'Revenue Details'!$M$35)&gt;0,
                      IF(INDIRECT(DB_Map[[#This Row],[Location]])&lt;&gt;"", INDIRECT(DB_Map[[#This Row],[Location]])/'Revenue Details'!$M$33, 0), "")</f>
        <v/>
      </c>
    </row>
    <row r="272" spans="1:3" x14ac:dyDescent="0.25">
      <c r="A272" s="374">
        <v>326</v>
      </c>
      <c r="B272" s="44" t="s">
        <v>206</v>
      </c>
      <c r="C272" s="8" t="str">
        <f>IF(COUNT('Revenue Details'!$E$40, 'Revenue Details'!$H$40, 'Revenue Details'!$E$42, 'Revenue Details'!$H$42,
                      'Revenue Details'!$K$40, 'Revenue Details'!$M$40, 'Revenue Details'!$K$42)&gt;0,
                      SUM('Revenue Details'!$E$40, 'Revenue Details'!$H$40)/'Revenue Details'!$M$38, "")</f>
        <v/>
      </c>
    </row>
    <row r="273" spans="1:3" x14ac:dyDescent="0.25">
      <c r="A273" s="374">
        <v>327</v>
      </c>
      <c r="B273" s="44" t="str">
        <f ca="1">CELL("address", 'Revenue Details'!E$40)</f>
        <v>'[2025 ACEC-EFCG Key Financials Survey Form - BLANK (Unlocked).xlsx]Revenue Details'!$E$40</v>
      </c>
      <c r="C273" s="8" t="str">
        <f ca="1">IF(COUNT('Revenue Details'!$E$40, 'Revenue Details'!$H$40, 'Revenue Details'!$E$42, 'Revenue Details'!$H$42,
                      'Revenue Details'!$K$40, 'Revenue Details'!$M$40, 'Revenue Details'!$K$42)&gt;0,
                      IF(INDIRECT(DB_Map[[#This Row],[Location]])&lt;&gt;"", INDIRECT(DB_Map[[#This Row],[Location]])/'Revenue Details'!$M$38, 0), "")</f>
        <v/>
      </c>
    </row>
    <row r="274" spans="1:3" x14ac:dyDescent="0.25">
      <c r="A274" s="374">
        <v>328</v>
      </c>
      <c r="B274" s="44" t="str">
        <f ca="1">CELL("address", 'Revenue Details'!H$40)</f>
        <v>'[2025 ACEC-EFCG Key Financials Survey Form - BLANK (Unlocked).xlsx]Revenue Details'!$H$40</v>
      </c>
      <c r="C274" s="8" t="str">
        <f ca="1">IF(COUNT('Revenue Details'!$E$40, 'Revenue Details'!$H$40, 'Revenue Details'!$E$42, 'Revenue Details'!$H$42,
                      'Revenue Details'!$K$40, 'Revenue Details'!$M$40, 'Revenue Details'!$K$42)&gt;0,
                      IF(INDIRECT(DB_Map[[#This Row],[Location]])&lt;&gt;"", INDIRECT(DB_Map[[#This Row],[Location]])/'Revenue Details'!$M$38, 0), "")</f>
        <v/>
      </c>
    </row>
    <row r="275" spans="1:3" x14ac:dyDescent="0.25">
      <c r="A275" s="374">
        <v>329</v>
      </c>
      <c r="B275" s="44" t="str">
        <f ca="1">CELL("address", 'Revenue Details'!E$42)</f>
        <v>'[2025 ACEC-EFCG Key Financials Survey Form - BLANK (Unlocked).xlsx]Revenue Details'!$E$42</v>
      </c>
      <c r="C275" s="8" t="str">
        <f ca="1">IF(COUNT('Revenue Details'!$E$40, 'Revenue Details'!$H$40, 'Revenue Details'!$E$42, 'Revenue Details'!$H$42,
                      'Revenue Details'!$K$40, 'Revenue Details'!$M$40, 'Revenue Details'!$K$42)&gt;0,
                      IF(INDIRECT(DB_Map[[#This Row],[Location]])&lt;&gt;"", INDIRECT(DB_Map[[#This Row],[Location]])/'Revenue Details'!$M$38, 0), "")</f>
        <v/>
      </c>
    </row>
    <row r="276" spans="1:3" x14ac:dyDescent="0.25">
      <c r="A276" s="374">
        <v>330</v>
      </c>
      <c r="B276" s="44" t="str">
        <f ca="1">CELL("address", 'Revenue Details'!H$42)</f>
        <v>'[2025 ACEC-EFCG Key Financials Survey Form - BLANK (Unlocked).xlsx]Revenue Details'!$H$42</v>
      </c>
      <c r="C276" s="8" t="str">
        <f ca="1">IF(COUNT('Revenue Details'!$E$40, 'Revenue Details'!$H$40, 'Revenue Details'!$E$42, 'Revenue Details'!$H$42,
                      'Revenue Details'!$K$40, 'Revenue Details'!$M$40, 'Revenue Details'!$K$42)&gt;0,
                      IF(INDIRECT(DB_Map[[#This Row],[Location]])&lt;&gt;"", INDIRECT(DB_Map[[#This Row],[Location]])/'Revenue Details'!$M$38, 0), "")</f>
        <v/>
      </c>
    </row>
    <row r="277" spans="1:3" x14ac:dyDescent="0.25">
      <c r="A277" s="374">
        <v>331</v>
      </c>
      <c r="B277" s="44" t="s">
        <v>206</v>
      </c>
      <c r="C277" s="8" t="str">
        <f>IF(COUNT('Revenue Details'!$E$40, 'Revenue Details'!$H$40, 'Revenue Details'!$E$42, 'Revenue Details'!$H$42,
                      'Revenue Details'!$K$40, 'Revenue Details'!$M$40, 'Revenue Details'!$K$42)&gt;0,
                      SUM('Revenue Details'!$K$40, 'Revenue Details'!$M$40)/'Revenue Details'!$M$38, "")</f>
        <v/>
      </c>
    </row>
    <row r="278" spans="1:3" x14ac:dyDescent="0.25">
      <c r="A278" s="374">
        <v>332</v>
      </c>
      <c r="B278" s="44" t="str">
        <f ca="1">CELL("address", 'Revenue Details'!K$40)</f>
        <v>'[2025 ACEC-EFCG Key Financials Survey Form - BLANK (Unlocked).xlsx]Revenue Details'!$K$40</v>
      </c>
      <c r="C278" s="8" t="str">
        <f ca="1">IF(COUNT('Revenue Details'!$E$40, 'Revenue Details'!$H$40, 'Revenue Details'!$E$42, 'Revenue Details'!$H$42,
                      'Revenue Details'!$K$40, 'Revenue Details'!$M$40, 'Revenue Details'!$K$42)&gt;0,
                      IF(INDIRECT(DB_Map[[#This Row],[Location]])&lt;&gt;"", INDIRECT(DB_Map[[#This Row],[Location]])/'Revenue Details'!$M$38, 0), "")</f>
        <v/>
      </c>
    </row>
    <row r="279" spans="1:3" x14ac:dyDescent="0.25">
      <c r="A279" s="374">
        <v>333</v>
      </c>
      <c r="B279" s="44" t="str">
        <f ca="1">CELL("address", 'Revenue Details'!M$40)</f>
        <v>'[2025 ACEC-EFCG Key Financials Survey Form - BLANK (Unlocked).xlsx]Revenue Details'!$M$40</v>
      </c>
      <c r="C279" s="8" t="str">
        <f ca="1">IF(COUNT('Revenue Details'!$E$40, 'Revenue Details'!$H$40, 'Revenue Details'!$E$42, 'Revenue Details'!$H$42,
                      'Revenue Details'!$K$40, 'Revenue Details'!$M$40, 'Revenue Details'!$K$42)&gt;0,
                      IF(INDIRECT(DB_Map[[#This Row],[Location]])&lt;&gt;"", INDIRECT(DB_Map[[#This Row],[Location]])/'Revenue Details'!$M$38, 0), "")</f>
        <v/>
      </c>
    </row>
    <row r="280" spans="1:3" x14ac:dyDescent="0.25">
      <c r="A280" s="374">
        <v>531</v>
      </c>
      <c r="B280" s="44" t="str">
        <f ca="1">CELL("address", 'Revenue Details'!K$42)</f>
        <v>'[2025 ACEC-EFCG Key Financials Survey Form - BLANK (Unlocked).xlsx]Revenue Details'!$K$42</v>
      </c>
      <c r="C280" s="8" t="str">
        <f ca="1">IF(COUNT('Revenue Details'!$E$40, 'Revenue Details'!$H$40, 'Revenue Details'!$E$42, 'Revenue Details'!$H$42,
                      'Revenue Details'!$K$40, 'Revenue Details'!$M$40, 'Revenue Details'!$K$42)&gt;0,
                      IF(INDIRECT(DB_Map[[#This Row],[Location]])&lt;&gt;"", INDIRECT(DB_Map[[#This Row],[Location]])/'Revenue Details'!$M$38, 0), "")</f>
        <v/>
      </c>
    </row>
    <row r="281" spans="1:3" x14ac:dyDescent="0.25">
      <c r="A281" s="374">
        <v>532</v>
      </c>
      <c r="B281" s="44" t="str">
        <f ca="1">CELL("address", 'Revenue Details'!M$42)</f>
        <v>'[2025 ACEC-EFCG Key Financials Survey Form - BLANK (Unlocked).xlsx]Revenue Details'!$M$42</v>
      </c>
      <c r="C281" s="8" t="str">
        <f ca="1">IF(INDIRECT(DB_Map[[#This Row],[Location]])&lt;&gt;"", INDIRECT(DB_Map[[#This Row],[Location]]), "")</f>
        <v/>
      </c>
    </row>
    <row r="282" spans="1:3" x14ac:dyDescent="0.25">
      <c r="A282" s="374">
        <v>295</v>
      </c>
      <c r="B282" s="44" t="str">
        <f ca="1">CELL("address", 'Revenue Details'!E$49)</f>
        <v>'[2025 ACEC-EFCG Key Financials Survey Form - BLANK (Unlocked).xlsx]Revenue Details'!$E$49</v>
      </c>
      <c r="C282" s="8" t="str">
        <f ca="1">IF(COUNT('Revenue Details'!$I$49, 'Revenue Details'!$E$49)&gt;0,
                      IF(INDIRECT(DB_Map[[#This Row],[Location]])&lt;&gt;"", INDIRECT(DB_Map[[#This Row],[Location]])/'Revenue Details'!$M$49, 0), "")</f>
        <v/>
      </c>
    </row>
    <row r="283" spans="1:3" x14ac:dyDescent="0.25">
      <c r="A283" s="374">
        <v>296</v>
      </c>
      <c r="B283" s="44" t="s">
        <v>206</v>
      </c>
      <c r="C283" s="8" t="str">
        <f>IF(COUNT('Revenue Details'!$E$54, 'Revenue Details'!$E$57, 'Revenue Details'!$E$64, 'Revenue Details'!$H$54,
                                                       'Revenue Details'!$H$57, 'Revenue Details'!$H$64, 'Revenue Details'!$H$73)&gt;0,
       SUM('Revenue Details'!$E$54, 'Revenue Details'!$E$57)/'Revenue Details'!$M$52, "")</f>
        <v/>
      </c>
    </row>
    <row r="284" spans="1:3" x14ac:dyDescent="0.25">
      <c r="A284" s="374">
        <v>297</v>
      </c>
      <c r="B284" s="44" t="str">
        <f ca="1">CELL("address", 'Revenue Details'!E$54)</f>
        <v>'[2025 ACEC-EFCG Key Financials Survey Form - BLANK (Unlocked).xlsx]Revenue Details'!$E$54</v>
      </c>
      <c r="C284" s="8" t="str">
        <f ca="1">IF(COUNT('Revenue Details'!$E$54, 'Revenue Details'!$E$57, 'Revenue Details'!$E$64, 'Revenue Details'!$H$54,
                                                       'Revenue Details'!$H$57, 'Revenue Details'!$H$64, 'Revenue Details'!$H$73)&gt;0,
      IF(INDIRECT(DB_Map[[#This Row],[Location]])&lt;&gt;"", INDIRECT(DB_Map[[#This Row],[Location]])/'Revenue Details'!$M$52, 0), "")</f>
        <v/>
      </c>
    </row>
    <row r="285" spans="1:3" x14ac:dyDescent="0.25">
      <c r="A285" s="374">
        <v>533</v>
      </c>
      <c r="B285" s="44" t="str">
        <f ca="1">CELL("address", 'Revenue Details'!E$57)</f>
        <v>'[2025 ACEC-EFCG Key Financials Survey Form - BLANK (Unlocked).xlsx]Revenue Details'!$E$57</v>
      </c>
      <c r="C285" s="8" t="str">
        <f ca="1">IF(COUNT('Revenue Details'!$E$54, 'Revenue Details'!$E$57, 'Revenue Details'!$E$64, 'Revenue Details'!$H$54,
                                                       'Revenue Details'!$H$57, 'Revenue Details'!$H$64, 'Revenue Details'!$H$73)&gt;0,
      IF(INDIRECT(DB_Map[[#This Row],[Location]])&lt;&gt;"", INDIRECT(DB_Map[[#This Row],[Location]])/'Revenue Details'!$M$52, 0), "")</f>
        <v/>
      </c>
    </row>
    <row r="286" spans="1:3" x14ac:dyDescent="0.25">
      <c r="A286" s="374">
        <v>534</v>
      </c>
      <c r="B286" s="44" t="str">
        <f ca="1">CELL("address", 'Revenue Details'!E$59)</f>
        <v>'[2025 ACEC-EFCG Key Financials Survey Form - BLANK (Unlocked).xlsx]Revenue Details'!$E$59</v>
      </c>
      <c r="C286" s="8"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7" spans="1:3" x14ac:dyDescent="0.25">
      <c r="A287" s="374">
        <v>535</v>
      </c>
      <c r="B287" s="44" t="str">
        <f ca="1">CELL("address", 'Revenue Details'!E$61)</f>
        <v>'[2025 ACEC-EFCG Key Financials Survey Form - BLANK (Unlocked).xlsx]Revenue Details'!$E$61</v>
      </c>
      <c r="C287" s="8"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8" spans="1:3" x14ac:dyDescent="0.25">
      <c r="A288" s="374">
        <v>300</v>
      </c>
      <c r="B288" s="44" t="s">
        <v>206</v>
      </c>
      <c r="C288" s="8" t="str">
        <f>IF(COUNT('Revenue Details'!$E$54, 'Revenue Details'!$E$57, 'Revenue Details'!$E$64, 'Revenue Details'!$H$54,
                                                       'Revenue Details'!$H$57, 'Revenue Details'!$H$64, 'Revenue Details'!$H$73)&gt;0,
       SUM('Revenue Details'!$E$64, 'Revenue Details'!$H$54, 'Revenue Details'!$H$57)/'Revenue Details'!$M$52, "")</f>
        <v/>
      </c>
    </row>
    <row r="289" spans="1:3" x14ac:dyDescent="0.25">
      <c r="A289" s="374">
        <v>536</v>
      </c>
      <c r="B289" s="44" t="str">
        <f ca="1">CELL("address", 'Revenue Details'!E$64)</f>
        <v>'[2025 ACEC-EFCG Key Financials Survey Form - BLANK (Unlocked).xlsx]Revenue Details'!$E$64</v>
      </c>
      <c r="C289" s="8" t="str">
        <f ca="1">IF(COUNT('Revenue Details'!$E$54, 'Revenue Details'!$E$57, 'Revenue Details'!$E$64, 'Revenue Details'!$H$54,
                               'Revenue Details'!$H$57, 'Revenue Details'!$H$64, 'Revenue Details'!$H$73)&gt;0,
      IF(INDIRECT(DB_Map[[#This Row],[Location]])&lt;&gt;"", INDIRECT(DB_Map[[#This Row],[Location]])/'Revenue Details'!$M$52, 0), "")</f>
        <v/>
      </c>
    </row>
    <row r="290" spans="1:3" x14ac:dyDescent="0.25">
      <c r="A290" s="374">
        <v>537</v>
      </c>
      <c r="B290" s="44" t="str">
        <f ca="1">CELL("address", 'Revenue Details'!E$66)</f>
        <v>'[2025 ACEC-EFCG Key Financials Survey Form - BLANK (Unlocked).xlsx]Revenue Details'!$E$66</v>
      </c>
      <c r="C290"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1" spans="1:3" x14ac:dyDescent="0.25">
      <c r="A291" s="374">
        <v>538</v>
      </c>
      <c r="B291" s="44" t="str">
        <f ca="1">CELL("address", 'Revenue Details'!E$68)</f>
        <v>'[2025 ACEC-EFCG Key Financials Survey Form - BLANK (Unlocked).xlsx]Revenue Details'!$E$68</v>
      </c>
      <c r="C291"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2" spans="1:3" x14ac:dyDescent="0.25">
      <c r="A292" s="374">
        <v>539</v>
      </c>
      <c r="B292" s="44" t="str">
        <f ca="1">CELL("address", 'Revenue Details'!E$70)</f>
        <v>'[2025 ACEC-EFCG Key Financials Survey Form - BLANK (Unlocked).xlsx]Revenue Details'!$E$70</v>
      </c>
      <c r="C292"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3" spans="1:3" x14ac:dyDescent="0.25">
      <c r="A293" s="374">
        <v>540</v>
      </c>
      <c r="B293" s="44" t="str">
        <f ca="1">CELL("address", 'Revenue Details'!H$54)</f>
        <v>'[2025 ACEC-EFCG Key Financials Survey Form - BLANK (Unlocked).xlsx]Revenue Details'!$H$54</v>
      </c>
      <c r="C293" s="8" t="str">
        <f ca="1">IF(COUNT('Revenue Details'!$E$54, 'Revenue Details'!$E$57, 'Revenue Details'!$E$64, 'Revenue Details'!$H$54,
                               'Revenue Details'!$H$57, 'Revenue Details'!$H$64, 'Revenue Details'!$H$73)&gt;0,
      IF(INDIRECT(DB_Map[[#This Row],[Location]])&lt;&gt;"", INDIRECT(DB_Map[[#This Row],[Location]])/'Revenue Details'!$M$52, 0), "")</f>
        <v/>
      </c>
    </row>
    <row r="294" spans="1:3" x14ac:dyDescent="0.25">
      <c r="A294" s="374">
        <v>541</v>
      </c>
      <c r="B294" s="44" t="str">
        <f ca="1">CELL("address", 'Revenue Details'!H$57)</f>
        <v>'[2025 ACEC-EFCG Key Financials Survey Form - BLANK (Unlocked).xlsx]Revenue Details'!$H$57</v>
      </c>
      <c r="C294" s="8" t="str">
        <f ca="1">IF(COUNT('Revenue Details'!$E$54, 'Revenue Details'!$E$57, 'Revenue Details'!$E$64, 'Revenue Details'!$H$54,
                               'Revenue Details'!$H$57, 'Revenue Details'!$H$64, 'Revenue Details'!$H$73)&gt;0,
      IF(INDIRECT(DB_Map[[#This Row],[Location]])&lt;&gt;"", INDIRECT(DB_Map[[#This Row],[Location]])/'Revenue Details'!$M$52, 0), "")</f>
        <v/>
      </c>
    </row>
    <row r="295" spans="1:3" x14ac:dyDescent="0.25">
      <c r="A295" s="374">
        <v>542</v>
      </c>
      <c r="B295" s="44" t="str">
        <f ca="1">CELL("address", 'Revenue Details'!H$59)</f>
        <v>'[2025 ACEC-EFCG Key Financials Survey Form - BLANK (Unlocked).xlsx]Revenue Details'!$H$59</v>
      </c>
      <c r="C295" s="8"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6" spans="1:3" x14ac:dyDescent="0.25">
      <c r="A296" s="374">
        <v>543</v>
      </c>
      <c r="B296" s="44" t="str">
        <f ca="1">CELL("address", 'Revenue Details'!H$61)</f>
        <v>'[2025 ACEC-EFCG Key Financials Survey Form - BLANK (Unlocked).xlsx]Revenue Details'!$H$61</v>
      </c>
      <c r="C296" s="8"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7" spans="1:3" x14ac:dyDescent="0.25">
      <c r="A297" s="374">
        <v>307</v>
      </c>
      <c r="B297" s="44" t="s">
        <v>206</v>
      </c>
      <c r="C297" s="8" t="str">
        <f>IF(COUNT('Revenue Details'!$E$54, 'Revenue Details'!$E$57, 'Revenue Details'!$E$64, 'Revenue Details'!$H$54,
                               'Revenue Details'!$H$57, 'Revenue Details'!$H$64, 'Revenue Details'!$H$73)&gt;0,
       SUM('Revenue Details'!$H$64, 'Revenue Details'!$H$73)/'Revenue Details'!$M$52, "")</f>
        <v/>
      </c>
    </row>
    <row r="298" spans="1:3" x14ac:dyDescent="0.25">
      <c r="A298" s="374">
        <v>544</v>
      </c>
      <c r="B298" s="44" t="str">
        <f ca="1">CELL("address", 'Revenue Details'!H$64)</f>
        <v>'[2025 ACEC-EFCG Key Financials Survey Form - BLANK (Unlocked).xlsx]Revenue Details'!$H$64</v>
      </c>
      <c r="C298" s="8" t="str">
        <f ca="1">IF(COUNT('Revenue Details'!$E$54, 'Revenue Details'!$E$57, 'Revenue Details'!$E$64, 'Revenue Details'!$H$54,
                               'Revenue Details'!$H$57, 'Revenue Details'!$H$64, 'Revenue Details'!$H$73)&gt;0,
      IF(INDIRECT(DB_Map[[#This Row],[Location]])&lt;&gt;"", INDIRECT(DB_Map[[#This Row],[Location]])/'Revenue Details'!$M$52, 0), "")</f>
        <v/>
      </c>
    </row>
    <row r="299" spans="1:3" x14ac:dyDescent="0.25">
      <c r="A299" s="374">
        <v>545</v>
      </c>
      <c r="B299" s="44" t="str">
        <f ca="1">CELL("address", 'Revenue Details'!H$66)</f>
        <v>'[2025 ACEC-EFCG Key Financials Survey Form - BLANK (Unlocked).xlsx]Revenue Details'!$H$66</v>
      </c>
      <c r="C299"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0" spans="1:3" x14ac:dyDescent="0.25">
      <c r="A300" s="374">
        <v>546</v>
      </c>
      <c r="B300" s="44" t="str">
        <f ca="1">CELL("address", 'Revenue Details'!H$68)</f>
        <v>'[2025 ACEC-EFCG Key Financials Survey Form - BLANK (Unlocked).xlsx]Revenue Details'!$H$68</v>
      </c>
      <c r="C300"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1" spans="1:3" x14ac:dyDescent="0.25">
      <c r="A301" s="374">
        <v>547</v>
      </c>
      <c r="B301" s="44" t="str">
        <f ca="1">CELL("address", 'Revenue Details'!H$70)</f>
        <v>'[2025 ACEC-EFCG Key Financials Survey Form - BLANK (Unlocked).xlsx]Revenue Details'!$H$70</v>
      </c>
      <c r="C301"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2" spans="1:3" x14ac:dyDescent="0.25">
      <c r="A302" s="374">
        <v>311</v>
      </c>
      <c r="B302" s="44" t="str">
        <f ca="1">CELL("address", 'Revenue Details'!H$73)</f>
        <v>'[2025 ACEC-EFCG Key Financials Survey Form - BLANK (Unlocked).xlsx]Revenue Details'!$H$73</v>
      </c>
      <c r="C302" s="8" t="str">
        <f ca="1">IF(COUNT('Revenue Details'!$E$54, 'Revenue Details'!$E$57, 'Revenue Details'!$E$64, 'Revenue Details'!$H$54,
                               'Revenue Details'!$H$57, 'Revenue Details'!$H$64, 'Revenue Details'!$H$73)&gt;0,
      IF(INDIRECT(DB_Map[[#This Row],[Location]])&lt;&gt;"", INDIRECT(DB_Map[[#This Row],[Location]])/'Revenue Details'!$M$52, 0), "")</f>
        <v/>
      </c>
    </row>
    <row r="303" spans="1:3" x14ac:dyDescent="0.25">
      <c r="A303" s="374">
        <v>277</v>
      </c>
      <c r="B303" s="44" t="str">
        <f ca="1">CELL("address", 'Revenue Details'!I$49)</f>
        <v>'[2025 ACEC-EFCG Key Financials Survey Form - BLANK (Unlocked).xlsx]Revenue Details'!$I$49</v>
      </c>
      <c r="C303" s="8" t="str">
        <f ca="1">IF(COUNT('Revenue Details'!$I$49, 'Revenue Details'!$E$49)&gt;0,
                      IF(INDIRECT(DB_Map[[#This Row],[Location]])&lt;&gt;"", INDIRECT(DB_Map[[#This Row],[Location]])/'Revenue Details'!$M$49, 0), "")</f>
        <v/>
      </c>
    </row>
    <row r="304" spans="1:3" x14ac:dyDescent="0.25">
      <c r="A304" s="374">
        <v>278</v>
      </c>
      <c r="B304" s="44" t="str">
        <f ca="1">CELL("address", 'Revenue Details'!E$78)</f>
        <v>'[2025 ACEC-EFCG Key Financials Survey Form - BLANK (Unlocked).xlsx]Revenue Details'!$E$78</v>
      </c>
      <c r="C304"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5" spans="1:3" x14ac:dyDescent="0.25">
      <c r="A305" s="374">
        <v>279</v>
      </c>
      <c r="B305" s="44" t="s">
        <v>206</v>
      </c>
      <c r="C305" s="8" t="str">
        <f>IF(COUNT('Revenue Details'!$E$78, 'Revenue Details'!$G$78, 'Revenue Details'!$I$78, 'Revenue Details'!$E$81,
                                'Revenue Details'!$G$81, 'Revenue Details'!$I$81, 'Revenue Details'!$E$88, 'Revenue Details'!$G$88,
                                'Revenue Details'!$I$88, 'Revenue Details'!$I$95)&gt;0,
       SUM('Revenue Details'!$G$78, 'Revenue Details'!$I$78)/'Revenue Details'!$M$76, "")</f>
        <v/>
      </c>
    </row>
    <row r="306" spans="1:3" x14ac:dyDescent="0.25">
      <c r="A306" s="374">
        <v>280</v>
      </c>
      <c r="B306" s="44" t="str">
        <f ca="1">CELL("address", 'Revenue Details'!G$78)</f>
        <v>'[2025 ACEC-EFCG Key Financials Survey Form - BLANK (Unlocked).xlsx]Revenue Details'!$G$78</v>
      </c>
      <c r="C306"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7" spans="1:3" x14ac:dyDescent="0.25">
      <c r="A307" s="374">
        <v>281</v>
      </c>
      <c r="B307" s="44" t="str">
        <f ca="1">CELL("address", 'Revenue Details'!I$78)</f>
        <v>'[2025 ACEC-EFCG Key Financials Survey Form - BLANK (Unlocked).xlsx]Revenue Details'!$I$78</v>
      </c>
      <c r="C307"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8" spans="1:3" x14ac:dyDescent="0.25">
      <c r="A308" s="374">
        <v>282</v>
      </c>
      <c r="B308" s="44" t="str">
        <f ca="1">CELL("address", 'Revenue Details'!E$81)</f>
        <v>'[2025 ACEC-EFCG Key Financials Survey Form - BLANK (Unlocked).xlsx]Revenue Details'!$E$81</v>
      </c>
      <c r="C308"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9" spans="1:3" x14ac:dyDescent="0.25">
      <c r="A309" s="374">
        <v>283</v>
      </c>
      <c r="B309" s="44" t="str">
        <f ca="1">CELL("address", 'Revenue Details'!E$83)</f>
        <v>'[2025 ACEC-EFCG Key Financials Survey Form - BLANK (Unlocked).xlsx]Revenue Details'!$E$83</v>
      </c>
      <c r="C309" s="8"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0" spans="1:3" x14ac:dyDescent="0.25">
      <c r="A310" s="374">
        <v>284</v>
      </c>
      <c r="B310" s="44" t="str">
        <f ca="1">CELL("address", 'Revenue Details'!E$85)</f>
        <v>'[2025 ACEC-EFCG Key Financials Survey Form - BLANK (Unlocked).xlsx]Revenue Details'!$E$85</v>
      </c>
      <c r="C310" s="8"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1" spans="1:3" x14ac:dyDescent="0.25">
      <c r="A311" s="374">
        <v>285</v>
      </c>
      <c r="B311" s="44" t="str">
        <f ca="1">CELL("address", 'Revenue Details'!G$81)</f>
        <v>'[2025 ACEC-EFCG Key Financials Survey Form - BLANK (Unlocked).xlsx]Revenue Details'!$G$81</v>
      </c>
      <c r="C311"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2" spans="1:3" x14ac:dyDescent="0.25">
      <c r="A312" s="374">
        <v>286</v>
      </c>
      <c r="B312" s="44" t="str">
        <f ca="1">CELL("address", 'Revenue Details'!I$81)</f>
        <v>'[2025 ACEC-EFCG Key Financials Survey Form - BLANK (Unlocked).xlsx]Revenue Details'!$I$81</v>
      </c>
      <c r="C312"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3" spans="1:3" x14ac:dyDescent="0.25">
      <c r="A313" s="374">
        <v>287</v>
      </c>
      <c r="B313" s="44" t="str">
        <f ca="1">CELL("address", 'Revenue Details'!I$83)</f>
        <v>'[2025 ACEC-EFCG Key Financials Survey Form - BLANK (Unlocked).xlsx]Revenue Details'!$I$83</v>
      </c>
      <c r="C313" s="8"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4" spans="1:3" x14ac:dyDescent="0.25">
      <c r="A314" s="374">
        <v>288</v>
      </c>
      <c r="B314" s="44" t="str">
        <f ca="1">CELL("address", 'Revenue Details'!I$85)</f>
        <v>'[2025 ACEC-EFCG Key Financials Survey Form - BLANK (Unlocked).xlsx]Revenue Details'!$I$85</v>
      </c>
      <c r="C314" s="8"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5" spans="1:3" x14ac:dyDescent="0.25">
      <c r="A315" s="374">
        <v>289</v>
      </c>
      <c r="B315" s="44" t="str">
        <f ca="1">CELL("address", 'Revenue Details'!E$88)</f>
        <v>'[2025 ACEC-EFCG Key Financials Survey Form - BLANK (Unlocked).xlsx]Revenue Details'!$E$88</v>
      </c>
      <c r="C315"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6" spans="1:3" x14ac:dyDescent="0.25">
      <c r="A316" s="374">
        <v>290</v>
      </c>
      <c r="B316" s="44" t="str">
        <f ca="1">CELL("address", 'Revenue Details'!G$88)</f>
        <v>'[2025 ACEC-EFCG Key Financials Survey Form - BLANK (Unlocked).xlsx]Revenue Details'!$G$88</v>
      </c>
      <c r="C316"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7" spans="1:3" x14ac:dyDescent="0.25">
      <c r="A317" s="374">
        <v>291</v>
      </c>
      <c r="B317" s="44" t="str">
        <f ca="1">CELL("address", 'Revenue Details'!I$88)</f>
        <v>'[2025 ACEC-EFCG Key Financials Survey Form - BLANK (Unlocked).xlsx]Revenue Details'!$I$88</v>
      </c>
      <c r="C317"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8" spans="1:3" x14ac:dyDescent="0.25">
      <c r="A318" s="374">
        <v>292</v>
      </c>
      <c r="B318" s="44" t="str">
        <f ca="1">CELL("address", 'Revenue Details'!I$90)</f>
        <v>'[2025 ACEC-EFCG Key Financials Survey Form - BLANK (Unlocked).xlsx]Revenue Details'!$I$90</v>
      </c>
      <c r="C318" s="8"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19" spans="1:3" x14ac:dyDescent="0.25">
      <c r="A319" s="374">
        <v>293</v>
      </c>
      <c r="B319" s="44" t="str">
        <f ca="1">CELL("address", 'Revenue Details'!I$92)</f>
        <v>'[2025 ACEC-EFCG Key Financials Survey Form - BLANK (Unlocked).xlsx]Revenue Details'!$I$92</v>
      </c>
      <c r="C319" s="8"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20" spans="1:3" x14ac:dyDescent="0.25">
      <c r="A320" s="374">
        <v>294</v>
      </c>
      <c r="B320" s="44" t="str">
        <f ca="1">CELL("address", 'Revenue Details'!I$95)</f>
        <v>'[2025 ACEC-EFCG Key Financials Survey Form - BLANK (Unlocked).xlsx]Revenue Details'!$I$95</v>
      </c>
      <c r="C320"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21" spans="1:3" x14ac:dyDescent="0.25">
      <c r="A321" s="374">
        <v>104</v>
      </c>
      <c r="B321" s="44" t="str">
        <f ca="1">CELL("address", 'Revenue Details'!F101)</f>
        <v>'[2025 ACEC-EFCG Key Financials Survey Form - BLANK (Unlocked).xlsx]Revenue Details'!$F$101</v>
      </c>
      <c r="C321" s="8" t="str">
        <f ca="1">IF(INDIRECT(DB_Map[[#This Row],[Location]])&lt;&gt;"", INDIRECT(DB_Map[[#This Row],[Location]]), "")</f>
        <v/>
      </c>
    </row>
    <row r="322" spans="1:3" x14ac:dyDescent="0.25">
      <c r="A322" s="374">
        <v>105</v>
      </c>
      <c r="B322" s="44" t="str">
        <f ca="1">CELL("address", 'Revenue Details'!J103)</f>
        <v>'[2025 ACEC-EFCG Key Financials Survey Form - BLANK (Unlocked).xlsx]Revenue Details'!$J$103</v>
      </c>
      <c r="C322" s="8" t="str">
        <f ca="1">IF(INDIRECT(DB_Map[[#This Row],[Location]])&lt;&gt;"", INDIRECT(DB_Map[[#This Row],[Location]]), "")</f>
        <v/>
      </c>
    </row>
    <row r="323" spans="1:3" x14ac:dyDescent="0.25">
      <c r="A323" s="374">
        <v>106</v>
      </c>
      <c r="B323" s="44" t="str">
        <f ca="1">CELL("address", 'Revenue Details'!M103)</f>
        <v>'[2025 ACEC-EFCG Key Financials Survey Form - BLANK (Unlocked).xlsx]Revenue Details'!$M$103</v>
      </c>
      <c r="C323" s="8" t="str">
        <f ca="1">IF(INDIRECT(DB_Map[[#This Row],[Location]])&lt;&gt;"", INDIRECT(DB_Map[[#This Row],[Location]]), "")</f>
        <v/>
      </c>
    </row>
    <row r="324" spans="1:3" x14ac:dyDescent="0.25">
      <c r="A324" s="374">
        <v>107</v>
      </c>
      <c r="B324" s="44" t="str">
        <f ca="1">CELL("address", 'Revenue Details'!J105)</f>
        <v>'[2025 ACEC-EFCG Key Financials Survey Form - BLANK (Unlocked).xlsx]Revenue Details'!$J$105</v>
      </c>
      <c r="C324" s="8" t="str">
        <f ca="1">IF(INDIRECT(DB_Map[[#This Row],[Location]])&lt;&gt;"", INDIRECT(DB_Map[[#This Row],[Location]]), "")</f>
        <v/>
      </c>
    </row>
    <row r="325" spans="1:3" x14ac:dyDescent="0.25">
      <c r="A325" s="374">
        <v>108</v>
      </c>
      <c r="B325" s="44" t="str">
        <f ca="1">CELL("address", 'Revenue Details'!M105)</f>
        <v>'[2025 ACEC-EFCG Key Financials Survey Form - BLANK (Unlocked).xlsx]Revenue Details'!$M$105</v>
      </c>
      <c r="C325" s="8" t="str">
        <f ca="1">IF(INDIRECT(DB_Map[[#This Row],[Location]])&lt;&gt;"", INDIRECT(DB_Map[[#This Row],[Location]]), "")</f>
        <v/>
      </c>
    </row>
    <row r="326" spans="1:3" x14ac:dyDescent="0.25">
      <c r="A326" s="374">
        <v>705</v>
      </c>
      <c r="B326" s="44" t="str">
        <f ca="1">CELL("address", 'Revenue Details'!J107)</f>
        <v>'[2025 ACEC-EFCG Key Financials Survey Form - BLANK (Unlocked).xlsx]Revenue Details'!$J$107</v>
      </c>
      <c r="C326" s="8" t="str">
        <f ca="1">IF(INDIRECT(DB_Map[[#This Row],[Location]])&lt;&gt;"", INDIRECT(DB_Map[[#This Row],[Location]]), "")</f>
        <v/>
      </c>
    </row>
    <row r="327" spans="1:3" x14ac:dyDescent="0.25">
      <c r="A327" s="374">
        <v>706</v>
      </c>
      <c r="B327" s="44" t="str">
        <f ca="1">CELL("address", 'Revenue Details'!M107)</f>
        <v>'[2025 ACEC-EFCG Key Financials Survey Form - BLANK (Unlocked).xlsx]Revenue Details'!$M$107</v>
      </c>
      <c r="C327" s="8" t="str">
        <f ca="1">IF(INDIRECT(DB_Map[[#This Row],[Location]])&lt;&gt;"", INDIRECT(DB_Map[[#This Row],[Location]]), "")</f>
        <v/>
      </c>
    </row>
    <row r="328" spans="1:3" x14ac:dyDescent="0.25">
      <c r="A328" s="374">
        <v>665</v>
      </c>
      <c r="B328" s="44" t="str">
        <f ca="1">CELL("address", 'Revenue Details'!M113)</f>
        <v>'[2025 ACEC-EFCG Key Financials Survey Form - BLANK (Unlocked).xlsx]Revenue Details'!$M$113</v>
      </c>
      <c r="C328" s="8" t="str">
        <f ca="1">IF(INDIRECT(DB_Map[[#This Row],[Location]])&lt;&gt;"", INDIRECT(DB_Map[[#This Row],[Location]]), "")</f>
        <v/>
      </c>
    </row>
    <row r="329" spans="1:3" x14ac:dyDescent="0.25">
      <c r="A329" s="374">
        <v>112</v>
      </c>
      <c r="B329" s="44" t="str">
        <f ca="1">CELL("address", 'Revenue Details'!M115)</f>
        <v>'[2025 ACEC-EFCG Key Financials Survey Form - BLANK (Unlocked).xlsx]Revenue Details'!$M$115</v>
      </c>
      <c r="C329" s="8" t="str">
        <f ca="1">IF(INDEX(ChecksTable[Status], MATCH(49, ChecksTable[ID], 0)), IF(INDIRECT(DB_Map[[#This Row],[Location]])&lt;&gt;"", INDIRECT(DB_Map[[#This Row],[Location]]), ""), "")</f>
        <v/>
      </c>
    </row>
    <row r="330" spans="1:3" x14ac:dyDescent="0.25">
      <c r="A330" s="374">
        <v>113</v>
      </c>
      <c r="B330" s="44" t="str">
        <f ca="1">CELL("address", 'Revenue Details'!M118)</f>
        <v>'[2025 ACEC-EFCG Key Financials Survey Form - BLANK (Unlocked).xlsx]Revenue Details'!$M$118</v>
      </c>
      <c r="C330" s="8" t="str">
        <f ca="1">IF(INDEX(ChecksTable[Status], MATCH(49, ChecksTable[ID], 0)), IF(INDIRECT(DB_Map[[#This Row],[Location]])&lt;&gt;"", INDIRECT(DB_Map[[#This Row],[Location]]), ""), "")</f>
        <v/>
      </c>
    </row>
    <row r="331" spans="1:3" x14ac:dyDescent="0.25">
      <c r="A331" s="374">
        <v>114</v>
      </c>
      <c r="B331" s="44" t="str">
        <f ca="1">CELL("address", 'Revenue Details'!M120)</f>
        <v>'[2025 ACEC-EFCG Key Financials Survey Form - BLANK (Unlocked).xlsx]Revenue Details'!$M$120</v>
      </c>
      <c r="C331" s="8" t="str">
        <f ca="1">IF(INDIRECT(DB_Map[[#This Row],[Location]])&lt;&gt;"", INDIRECT(DB_Map[[#This Row],[Location]]), "")</f>
        <v/>
      </c>
    </row>
    <row r="332" spans="1:3" x14ac:dyDescent="0.25">
      <c r="A332" s="374">
        <v>115</v>
      </c>
      <c r="B332" s="44" t="str">
        <f ca="1">CELL("address", 'Revenue Details'!J122)</f>
        <v>'[2025 ACEC-EFCG Key Financials Survey Form - BLANK (Unlocked).xlsx]Revenue Details'!$J$122</v>
      </c>
      <c r="C332" s="8" t="str">
        <f ca="1">IF(INDIRECT(DB_Map[[#This Row],[Location]])&lt;&gt;"", INDIRECT(DB_Map[[#This Row],[Location]]), "")</f>
        <v/>
      </c>
    </row>
    <row r="333" spans="1:3" x14ac:dyDescent="0.25">
      <c r="A333" s="374">
        <v>116</v>
      </c>
      <c r="B333" s="44" t="str">
        <f ca="1">CELL("address", 'Revenue Details'!M122)</f>
        <v>'[2025 ACEC-EFCG Key Financials Survey Form - BLANK (Unlocked).xlsx]Revenue Details'!$M$122</v>
      </c>
      <c r="C333" s="8" t="str">
        <f ca="1">IF(INDIRECT(DB_Map[[#This Row],[Location]])&lt;&gt;"", INDIRECT(DB_Map[[#This Row],[Location]]), "")</f>
        <v/>
      </c>
    </row>
    <row r="334" spans="1:3" x14ac:dyDescent="0.25">
      <c r="A334" s="374">
        <v>118</v>
      </c>
      <c r="B334" s="44" t="str">
        <f ca="1">CELL("address", 'Revenue Details'!J128)</f>
        <v>'[2025 ACEC-EFCG Key Financials Survey Form - BLANK (Unlocked).xlsx]Revenue Details'!$J$128</v>
      </c>
      <c r="C334" s="8" t="str">
        <f ca="1">IF(INDIRECT(DB_Map[[#This Row],[Location]])="Yes", TRUE, IF(INDIRECT(DB_Map[[#This Row],[Location]])="No", FALSE, ""))</f>
        <v/>
      </c>
    </row>
    <row r="335" spans="1:3" x14ac:dyDescent="0.25">
      <c r="A335" s="374">
        <v>119</v>
      </c>
      <c r="B335" s="44" t="str">
        <f ca="1">CELL("address", 'Revenue Details'!J130)</f>
        <v>'[2025 ACEC-EFCG Key Financials Survey Form - BLANK (Unlocked).xlsx]Revenue Details'!$J$130</v>
      </c>
      <c r="C335"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6" spans="1:3" x14ac:dyDescent="0.25">
      <c r="A336" s="374">
        <v>120</v>
      </c>
      <c r="B336" s="44" t="str">
        <f ca="1">CELL("address", 'Revenue Details'!M130)</f>
        <v>'[2025 ACEC-EFCG Key Financials Survey Form - BLANK (Unlocked).xlsx]Revenue Details'!$M$130</v>
      </c>
      <c r="C336"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7" spans="1:3" x14ac:dyDescent="0.25">
      <c r="A337" s="374">
        <v>121</v>
      </c>
      <c r="B337" s="44" t="str">
        <f ca="1">CELL("address", 'Revenue Details'!J132)</f>
        <v>'[2025 ACEC-EFCG Key Financials Survey Form - BLANK (Unlocked).xlsx]Revenue Details'!$J$132</v>
      </c>
      <c r="C337"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8" spans="1:3" x14ac:dyDescent="0.25">
      <c r="A338" s="374">
        <v>122</v>
      </c>
      <c r="B338" s="44" t="str">
        <f ca="1">CELL("address", 'Revenue Details'!M132)</f>
        <v>'[2025 ACEC-EFCG Key Financials Survey Form - BLANK (Unlocked).xlsx]Revenue Details'!$M$132</v>
      </c>
      <c r="C338"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9" spans="1:3" x14ac:dyDescent="0.25">
      <c r="A339" s="374">
        <v>123</v>
      </c>
      <c r="B339" s="44" t="s">
        <v>206</v>
      </c>
      <c r="C339" s="8" t="str">
        <f ca="1">IF(INDEX(DB_Map[Survey Form Value], MATCH(118, DB_Map[ID], 0))=FALSE, 0,
    IF(INDEX(ChecksTable[Status], MATCH(50, ChecksTable[ID], 0)),
        IF(COUNT(INDIRECT(INDEX(DB_Map[Location], MATCH(119, DB_Map[ID], 0))),
                           INDIRECT(INDEX(DB_Map[Location], MATCH(120, DB_Map[ID], 0))),
                           INDIRECT(INDEX(DB_Map[Location], MATCH(121, DB_Map[ID], 0))),
                           INDIRECT(INDEX(DB_Map[Location], MATCH(122, DB_Map[ID], 0))))&gt;0,
                 SUM(INDEX(DB_Map[Survey Form Value], MATCH(119, DB_Map[ID], 0)), INDEX(DB_Map[Survey Form Value], MATCH(120, DB_Map[ID], 0)),
                           INDEX(DB_Map[Survey Form Value], MATCH(121, DB_Map[ID], 0)), INDEX(DB_Map[Survey Form Value], MATCH(122, DB_Map[ID], 0))), ""), ""))</f>
        <v/>
      </c>
    </row>
    <row r="340" spans="1:3" x14ac:dyDescent="0.25">
      <c r="A340" s="374">
        <v>124</v>
      </c>
      <c r="B340" s="44" t="str">
        <f ca="1">CELL("address", 'Revenue Details'!J134)</f>
        <v>'[2025 ACEC-EFCG Key Financials Survey Form - BLANK (Unlocked).xlsx]Revenue Details'!$J$134</v>
      </c>
      <c r="C340" s="8" t="str">
        <f ca="1">IF(INDIRECT(DB_Map[[#This Row],[Location]])="Yes", TRUE, IF(INDIRECT(DB_Map[[#This Row],[Location]])="No", FALSE, ""))</f>
        <v/>
      </c>
    </row>
    <row r="341" spans="1:3" x14ac:dyDescent="0.25">
      <c r="A341" s="374">
        <v>125</v>
      </c>
      <c r="B341" s="44" t="str">
        <f ca="1">CELL("address", 'Revenue Details'!J136)</f>
        <v>'[2025 ACEC-EFCG Key Financials Survey Form - BLANK (Unlocked).xlsx]Revenue Details'!$J$136</v>
      </c>
      <c r="C341"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2" spans="1:3" x14ac:dyDescent="0.25">
      <c r="A342" s="374">
        <v>126</v>
      </c>
      <c r="B342" s="44" t="str">
        <f ca="1">CELL("address", 'Revenue Details'!M136)</f>
        <v>'[2025 ACEC-EFCG Key Financials Survey Form - BLANK (Unlocked).xlsx]Revenue Details'!$M$136</v>
      </c>
      <c r="C342"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3" spans="1:3" x14ac:dyDescent="0.25">
      <c r="A343" s="374">
        <v>127</v>
      </c>
      <c r="B343" s="44" t="str">
        <f ca="1">CELL("address", 'Revenue Details'!J138)</f>
        <v>'[2025 ACEC-EFCG Key Financials Survey Form - BLANK (Unlocked).xlsx]Revenue Details'!$J$138</v>
      </c>
      <c r="C343"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4" spans="1:3" x14ac:dyDescent="0.25">
      <c r="A344" s="374">
        <v>128</v>
      </c>
      <c r="B344" s="44" t="str">
        <f ca="1">CELL("address", 'Revenue Details'!M138)</f>
        <v>'[2025 ACEC-EFCG Key Financials Survey Form - BLANK (Unlocked).xlsx]Revenue Details'!$M$138</v>
      </c>
      <c r="C344"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5" spans="1:3" x14ac:dyDescent="0.25">
      <c r="A345" s="374">
        <v>129</v>
      </c>
      <c r="B345" s="44" t="s">
        <v>206</v>
      </c>
      <c r="C345" s="8" t="str">
        <f ca="1">IF(INDEX(DB_Map[Survey Form Value], MATCH(124, DB_Map[ID], 0))=FALSE, 0,
    IF(INDEX(ChecksTable[Status], MATCH(51, ChecksTable[ID], 0)),
        IF(COUNT(INDIRECT(INDEX(DB_Map[Location], MATCH(125, DB_Map[ID], 0))),
                           INDIRECT(INDEX(DB_Map[Location], MATCH(126, DB_Map[ID], 0))),
                           INDIRECT(INDEX(DB_Map[Location], MATCH(127, DB_Map[ID], 0))),
                           INDIRECT(INDEX(DB_Map[Location], MATCH(128, DB_Map[ID], 0))))&gt;0,
                 SUM(INDEX(DB_Map[Survey Form Value], MATCH(125, DB_Map[ID], 0)), INDEX(DB_Map[Survey Form Value], MATCH(126, DB_Map[ID], 0)),
                           INDEX(DB_Map[Survey Form Value], MATCH(127, DB_Map[ID], 0)), INDEX(DB_Map[Survey Form Value], MATCH(128, DB_Map[ID], 0))), ""), ""))</f>
        <v/>
      </c>
    </row>
    <row r="346" spans="1:3" x14ac:dyDescent="0.25">
      <c r="A346" s="374">
        <v>461</v>
      </c>
      <c r="B346" s="44" t="str">
        <f ca="1">CELL("address", 'CapEx, M&amp;A'!M8)</f>
        <v>'[2025 ACEC-EFCG Key Financials Survey Form - BLANK (Unlocked).xlsx]CapEx, M&amp;A'!$M$8</v>
      </c>
      <c r="C346" s="8" t="str">
        <f ca="1">IF(INDIRECT(DB_Map[[#This Row],[Location]])&lt;&gt;"", INDIRECT(DB_Map[[#This Row],[Location]]), "")</f>
        <v/>
      </c>
    </row>
    <row r="347" spans="1:3" x14ac:dyDescent="0.25">
      <c r="A347" s="374">
        <v>462</v>
      </c>
      <c r="B347" s="44" t="str">
        <f ca="1">CELL("address", 'CapEx, M&amp;A'!M10)</f>
        <v>'[2025 ACEC-EFCG Key Financials Survey Form - BLANK (Unlocked).xlsx]CapEx, M&amp;A'!$M$10</v>
      </c>
      <c r="C347" s="8" t="str">
        <f ca="1">IF(INDIRECT(DB_Map[[#This Row],[Location]])&lt;&gt;"", INDIRECT(DB_Map[[#This Row],[Location]]), "")</f>
        <v/>
      </c>
    </row>
    <row r="348" spans="1:3" x14ac:dyDescent="0.25">
      <c r="A348" s="374">
        <v>463</v>
      </c>
      <c r="B348" s="44" t="str">
        <f ca="1">CELL("address", 'CapEx, M&amp;A'!H12)</f>
        <v>'[2025 ACEC-EFCG Key Financials Survey Form - BLANK (Unlocked).xlsx]CapEx, M&amp;A'!$H$12</v>
      </c>
      <c r="C348" s="8" t="str">
        <f ca="1">IF(INDIRECT(DB_Map[[#This Row],[Location]])="Yes", TRUE, IF(INDIRECT(DB_Map[[#This Row],[Location]])="No", FALSE, ""))</f>
        <v/>
      </c>
    </row>
    <row r="349" spans="1:3" x14ac:dyDescent="0.25">
      <c r="A349" s="374">
        <v>464</v>
      </c>
      <c r="B349" s="44" t="str">
        <f ca="1">CELL("address", 'CapEx, M&amp;A'!M12)</f>
        <v>'[2025 ACEC-EFCG Key Financials Survey Form - BLANK (Unlocked).xlsx]CapEx, M&amp;A'!$M$12</v>
      </c>
      <c r="C349" s="8" t="str">
        <f ca="1">_xlfn.SWITCH(INDEX(DB_Map[Survey Form Value], MATCH(463, DB_Map[ID], 0)), TRUE, IF(INDIRECT(DB_Map[[#This Row],[Location]])&lt;&gt;"", INDIRECT(DB_Map[[#This Row],[Location]]), ""),
                                                                                                                              FALSE, 0, "")</f>
        <v/>
      </c>
    </row>
    <row r="350" spans="1:3" x14ac:dyDescent="0.25">
      <c r="A350" s="374">
        <v>465</v>
      </c>
      <c r="B350" s="44" t="str">
        <f ca="1">CELL("address", 'CapEx, M&amp;A'!J16)</f>
        <v>'[2025 ACEC-EFCG Key Financials Survey Form - BLANK (Unlocked).xlsx]CapEx, M&amp;A'!$J$16</v>
      </c>
      <c r="C350" s="8" t="str">
        <f ca="1">IF(INDIRECT(DB_Map[[#This Row],[Location]])&lt;&gt;"", INDIRECT(DB_Map[[#This Row],[Location]]), "")</f>
        <v/>
      </c>
    </row>
    <row r="351" spans="1:3" x14ac:dyDescent="0.25">
      <c r="A351" s="374">
        <v>466</v>
      </c>
      <c r="B351" s="44" t="str">
        <f ca="1">CELL("address", 'CapEx, M&amp;A'!M16)</f>
        <v>'[2025 ACEC-EFCG Key Financials Survey Form - BLANK (Unlocked).xlsx]CapEx, M&amp;A'!$M$16</v>
      </c>
      <c r="C351" s="8" t="str">
        <f ca="1">IF(INDEX(ChecksTable[Status], MATCH(53, ChecksTable[ID], 0)), IF(INDIRECT(DB_Map[[#This Row],[Location]])&lt;&gt;"", INDIRECT(DB_Map[[#This Row],[Location]]), ""), "")</f>
        <v/>
      </c>
    </row>
    <row r="352" spans="1:3" x14ac:dyDescent="0.25">
      <c r="A352" s="374">
        <v>467</v>
      </c>
      <c r="B352" s="44" t="str">
        <f ca="1">CELL("address", 'CapEx, M&amp;A'!J18)</f>
        <v>'[2025 ACEC-EFCG Key Financials Survey Form - BLANK (Unlocked).xlsx]CapEx, M&amp;A'!$J$18</v>
      </c>
      <c r="C352" s="8" t="str">
        <f ca="1">IF(INDIRECT(DB_Map[[#This Row],[Location]])&lt;&gt;"", INDIRECT(DB_Map[[#This Row],[Location]]), "")</f>
        <v/>
      </c>
    </row>
    <row r="353" spans="1:3" x14ac:dyDescent="0.25">
      <c r="A353" s="374">
        <v>468</v>
      </c>
      <c r="B353" s="44" t="str">
        <f ca="1">CELL("address", 'CapEx, M&amp;A'!M18)</f>
        <v>'[2025 ACEC-EFCG Key Financials Survey Form - BLANK (Unlocked).xlsx]CapEx, M&amp;A'!$M$18</v>
      </c>
      <c r="C353" s="8" t="str">
        <f ca="1">IF(INDIRECT(DB_Map[[#This Row],[Location]])&lt;&gt;"", INDIRECT(DB_Map[[#This Row],[Location]]), "")</f>
        <v/>
      </c>
    </row>
    <row r="354" spans="1:3" x14ac:dyDescent="0.25">
      <c r="A354" s="374">
        <v>469</v>
      </c>
      <c r="B354" s="44" t="str">
        <f ca="1">CELL("address", 'CapEx, M&amp;A'!M20)</f>
        <v>'[2025 ACEC-EFCG Key Financials Survey Form - BLANK (Unlocked).xlsx]CapEx, M&amp;A'!$M$20</v>
      </c>
      <c r="C354" s="8" t="str">
        <f ca="1">IF(INDIRECT(DB_Map[[#This Row],[Location]])&lt;&gt;"", INDIRECT(DB_Map[[#This Row],[Location]]), "")</f>
        <v/>
      </c>
    </row>
    <row r="355" spans="1:3" x14ac:dyDescent="0.25">
      <c r="A355" s="374">
        <v>470</v>
      </c>
      <c r="B355" s="44" t="str">
        <f ca="1">CELL("address", 'CapEx, M&amp;A'!M22)</f>
        <v>'[2025 ACEC-EFCG Key Financials Survey Form - BLANK (Unlocked).xlsx]CapEx, M&amp;A'!$M$22</v>
      </c>
      <c r="C355" s="8" t="str">
        <f ca="1">IF(INDIRECT(DB_Map[[#This Row],[Location]])&lt;&gt;"", INDIRECT(DB_Map[[#This Row],[Location]]), "")</f>
        <v/>
      </c>
    </row>
    <row r="356" spans="1:3" x14ac:dyDescent="0.25">
      <c r="A356" s="374">
        <v>708</v>
      </c>
      <c r="B356" s="44" t="str">
        <f ca="1">CELL("address", 'CapEx, M&amp;A'!E28:F28)</f>
        <v>'[2025 ACEC-EFCG Key Financials Survey Form - BLANK (Unlocked).xlsx]CapEx, M&amp;A'!$E$28</v>
      </c>
      <c r="C356" s="8" t="str">
        <f ca="1">IF(INDIRECT(DB_Map[[#This Row],[Location]])&lt;&gt;"", INDIRECT(DB_Map[[#This Row],[Location]]), "")</f>
        <v/>
      </c>
    </row>
    <row r="357" spans="1:3" x14ac:dyDescent="0.25">
      <c r="A357" s="374">
        <v>599</v>
      </c>
      <c r="B357" s="44" t="str">
        <f ca="1">CELL("address", 'CapEx, M&amp;A'!H28:I28)</f>
        <v>'[2025 ACEC-EFCG Key Financials Survey Form - BLANK (Unlocked).xlsx]CapEx, M&amp;A'!$H$28</v>
      </c>
      <c r="C357" s="8" t="str">
        <f ca="1">IF(INDIRECT(DB_Map[[#This Row],[Location]])&lt;&gt;"", INDIRECT(DB_Map[[#This Row],[Location]]), "")</f>
        <v/>
      </c>
    </row>
    <row r="358" spans="1:3" x14ac:dyDescent="0.25">
      <c r="A358" s="374">
        <v>709</v>
      </c>
      <c r="B358" s="44" t="str">
        <f ca="1">CELL("address", 'CapEx, M&amp;A'!K28:L28)</f>
        <v>'[2025 ACEC-EFCG Key Financials Survey Form - BLANK (Unlocked).xlsx]CapEx, M&amp;A'!$K$28</v>
      </c>
      <c r="C358" s="8" t="str">
        <f ca="1">IF(INDIRECT(DB_Map[[#This Row],[Location]])&lt;&gt;"", INDIRECT(DB_Map[[#This Row],[Location]]), "")</f>
        <v/>
      </c>
    </row>
    <row r="359" spans="1:3" x14ac:dyDescent="0.25">
      <c r="A359" s="374">
        <v>601</v>
      </c>
      <c r="B359" s="44" t="str">
        <f ca="1">CELL("address",'CapEx, M&amp;A'!M30)</f>
        <v>'[2025 ACEC-EFCG Key Financials Survey Form - BLANK (Unlocked).xlsx]CapEx, M&amp;A'!$M$30</v>
      </c>
      <c r="C359" s="8" t="str">
        <f ca="1">IF(INDEX(ChecksTable[Status], MATCH(54, ChecksTable[ID], 0)), IF(INDIRECT(DB_Map[[#This Row],[Location]])&lt;&gt;"", INDIRECT(DB_Map[[#This Row],[Location]]), ""), "")</f>
        <v/>
      </c>
    </row>
    <row r="360" spans="1:3" x14ac:dyDescent="0.25">
      <c r="A360" s="374">
        <v>602</v>
      </c>
      <c r="B360" s="44" t="str">
        <f ca="1">CELL("address",'CapEx, M&amp;A'!M32)</f>
        <v>'[2025 ACEC-EFCG Key Financials Survey Form - BLANK (Unlocked).xlsx]CapEx, M&amp;A'!$M$32</v>
      </c>
      <c r="C360" s="8" t="str">
        <f ca="1">IF(INDIRECT(DB_Map[[#This Row],[Location]])&lt;&gt;"", INDIRECT(DB_Map[[#This Row],[Location]]), "")</f>
        <v/>
      </c>
    </row>
    <row r="361" spans="1:3" x14ac:dyDescent="0.25">
      <c r="A361" s="374">
        <v>793</v>
      </c>
      <c r="B361" s="44" t="str">
        <f ca="1">CELL("address", 'CapEx, M&amp;A'!G40)</f>
        <v>'[2025 ACEC-EFCG Key Financials Survey Form - BLANK (Unlocked).xlsx]CapEx, M&amp;A'!$G$40</v>
      </c>
      <c r="C361" s="8" t="str">
        <f ca="1">IF(INDIRECT(DB_Map[[#This Row],[Location]])="Yes", TRUE, IF(INDIRECT(DB_Map[[#This Row],[Location]])="No", FALSE, ""))</f>
        <v/>
      </c>
    </row>
    <row r="362" spans="1:3" x14ac:dyDescent="0.25">
      <c r="A362" s="374">
        <v>710</v>
      </c>
      <c r="B362" s="44" t="str">
        <f ca="1">CELL("address", 'CapEx, M&amp;A'!M40)</f>
        <v>'[2025 ACEC-EFCG Key Financials Survey Form - BLANK (Unlocked).xlsx]CapEx, M&amp;A'!$M$40</v>
      </c>
      <c r="C362" s="8" t="str">
        <f ca="1">IF(INDIRECT(DB_Map[[#This Row],[Location]])&lt;&gt;"", INDIRECT(DB_Map[[#This Row],[Location]]), "")</f>
        <v/>
      </c>
    </row>
    <row r="363" spans="1:3" x14ac:dyDescent="0.25">
      <c r="A363" s="374">
        <v>603</v>
      </c>
      <c r="B363" s="44" t="str">
        <f ca="1">CELL("address",'CapEx, M&amp;A'!J34)</f>
        <v>'[2025 ACEC-EFCG Key Financials Survey Form - BLANK (Unlocked).xlsx]CapEx, M&amp;A'!$J$34</v>
      </c>
      <c r="C363" s="8" t="str">
        <f ca="1">IF(COUNT('CapEx, M&amp;A'!$J$34, 'CapEx, M&amp;A'!$M$34, 'CapEx, M&amp;A'!$J$38, 'CapEx, M&amp;A'!$J$36, 'CapEx, M&amp;A'!$M$36)&gt;0,
      IF(INDIRECT(DB_Map[[#This Row],[Location]])&lt;&gt;"", INDIRECT(DB_Map[[#This Row],[Location]]), 0)/'CapEx, M&amp;A'!$M$38, "")</f>
        <v/>
      </c>
    </row>
    <row r="364" spans="1:3" x14ac:dyDescent="0.25">
      <c r="A364" s="374">
        <v>604</v>
      </c>
      <c r="B364" s="44" t="str">
        <f ca="1">CELL("address",'CapEx, M&amp;A'!M34)</f>
        <v>'[2025 ACEC-EFCG Key Financials Survey Form - BLANK (Unlocked).xlsx]CapEx, M&amp;A'!$M$34</v>
      </c>
      <c r="C364" s="8" t="str">
        <f ca="1">IF(COUNT('CapEx, M&amp;A'!$J$34, 'CapEx, M&amp;A'!$M$34, 'CapEx, M&amp;A'!$J$38, 'CapEx, M&amp;A'!$J$36, 'CapEx, M&amp;A'!$M$36)&gt;0,
      IF(INDIRECT(DB_Map[[#This Row],[Location]])&lt;&gt;"", INDIRECT(DB_Map[[#This Row],[Location]]), 0)/'CapEx, M&amp;A'!$M$38, "")</f>
        <v/>
      </c>
    </row>
    <row r="365" spans="1:3" x14ac:dyDescent="0.25">
      <c r="A365" s="374">
        <v>605</v>
      </c>
      <c r="B365" s="44" t="str">
        <f ca="1">CELL("address",'CapEx, M&amp;A'!J36)</f>
        <v>'[2025 ACEC-EFCG Key Financials Survey Form - BLANK (Unlocked).xlsx]CapEx, M&amp;A'!$J$36</v>
      </c>
      <c r="C365" s="8" t="str">
        <f ca="1">IF(COUNT('CapEx, M&amp;A'!$J$34, 'CapEx, M&amp;A'!$M$34, 'CapEx, M&amp;A'!$J$38, 'CapEx, M&amp;A'!$J$36, 'CapEx, M&amp;A'!$M$36)&gt;0,
      IF(INDIRECT(DB_Map[[#This Row],[Location]])&lt;&gt;"", INDIRECT(DB_Map[[#This Row],[Location]]), 0)/'CapEx, M&amp;A'!$M$38, "")</f>
        <v/>
      </c>
    </row>
    <row r="366" spans="1:3" x14ac:dyDescent="0.25">
      <c r="A366" s="374">
        <v>606</v>
      </c>
      <c r="B366" s="44" t="str">
        <f ca="1">CELL("address",'CapEx, M&amp;A'!J38)</f>
        <v>'[2025 ACEC-EFCG Key Financials Survey Form - BLANK (Unlocked).xlsx]CapEx, M&amp;A'!$J$38</v>
      </c>
      <c r="C366" s="8" t="str">
        <f ca="1">IF(COUNT('CapEx, M&amp;A'!$J$34, 'CapEx, M&amp;A'!$M$34, 'CapEx, M&amp;A'!$J$38, 'CapEx, M&amp;A'!$J$36, 'CapEx, M&amp;A'!$M$36)&gt;0,
      IF(INDIRECT(DB_Map[[#This Row],[Location]])&lt;&gt;"", INDIRECT(DB_Map[[#This Row],[Location]]), 0)/'CapEx, M&amp;A'!$M$38, "")</f>
        <v/>
      </c>
    </row>
    <row r="367" spans="1:3" x14ac:dyDescent="0.25">
      <c r="A367" s="374">
        <v>607</v>
      </c>
      <c r="B367" s="44" t="str">
        <f ca="1">CELL("address",'CapEx, M&amp;A'!M36)</f>
        <v>'[2025 ACEC-EFCG Key Financials Survey Form - BLANK (Unlocked).xlsx]CapEx, M&amp;A'!$M$36</v>
      </c>
      <c r="C367" s="8" t="str">
        <f ca="1">IF(COUNT('CapEx, M&amp;A'!$J$34, 'CapEx, M&amp;A'!$M$34, 'CapEx, M&amp;A'!$J$38, 'CapEx, M&amp;A'!$J$36, 'CapEx, M&amp;A'!$M$36)&gt;0,
      IF(INDIRECT(DB_Map[[#This Row],[Location]])&lt;&gt;"", INDIRECT(DB_Map[[#This Row],[Location]]), 0)/'CapEx, M&amp;A'!$M$38, "")</f>
        <v/>
      </c>
    </row>
    <row r="368" spans="1:3" x14ac:dyDescent="0.25">
      <c r="A368" s="374">
        <v>608</v>
      </c>
      <c r="B368" s="44" t="str">
        <f ca="1">CELL("address", 'CapEx, M&amp;A'!M48)</f>
        <v>'[2025 ACEC-EFCG Key Financials Survey Form - BLANK (Unlocked).xlsx]CapEx, M&amp;A'!$M$48</v>
      </c>
      <c r="C368" s="8" t="str">
        <f ca="1">IF(INDIRECT(DB_Map[[#This Row],[Location]])&lt;&gt;"", INDIRECT(DB_Map[[#This Row],[Location]]), "")</f>
        <v/>
      </c>
    </row>
    <row r="369" spans="1:3" x14ac:dyDescent="0.25">
      <c r="A369" s="374">
        <v>609</v>
      </c>
      <c r="B369" s="44" t="e">
        <f ca="1">CELL("address",'CapEx, M&amp;A'!#REF!)</f>
        <v>#REF!</v>
      </c>
      <c r="C369" s="8" t="e">
        <f ca="1">IF(NOT(INDEX(DB_Map[Survey Form Value], MATCH(610, DB_Map[ID], 0))=""), TRUE,
       IF(INDIRECT(DB_Map[[#This Row],[Location]])="Yes", TRUE, IF(INDIRECT(DB_Map[[#This Row],[Location]])="No", FALSE, "")))</f>
        <v>#REF!</v>
      </c>
    </row>
    <row r="370" spans="1:3" x14ac:dyDescent="0.25">
      <c r="A370" s="374">
        <v>610</v>
      </c>
      <c r="B370" s="44" t="e">
        <f ca="1">CELL("address",'CapEx, M&amp;A'!#REF!)</f>
        <v>#REF!</v>
      </c>
      <c r="C370" s="8" t="e">
        <f ca="1">IF(INDIRECT(DB_Map[[#This Row],[Location]])&lt;&gt;"", INDIRECT(DB_Map[[#This Row],[Location]]), "")</f>
        <v>#REF!</v>
      </c>
    </row>
    <row r="371" spans="1:3" x14ac:dyDescent="0.25">
      <c r="A371" s="374">
        <v>471</v>
      </c>
      <c r="B371" s="44" t="str">
        <f ca="1">CELL("address", 'CapEx, M&amp;A'!H$76)</f>
        <v>'[2025 ACEC-EFCG Key Financials Survey Form - BLANK (Unlocked).xlsx]CapEx, M&amp;A'!$H$76</v>
      </c>
      <c r="C371"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2" spans="1:3" x14ac:dyDescent="0.25">
      <c r="A372" s="374">
        <v>472</v>
      </c>
      <c r="B372" s="44" t="str">
        <f ca="1">CELL("address", 'CapEx, M&amp;A'!I$76)</f>
        <v>'[2025 ACEC-EFCG Key Financials Survey Form - BLANK (Unlocked).xlsx]CapEx, M&amp;A'!$I$76</v>
      </c>
      <c r="C372"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3" spans="1:3" x14ac:dyDescent="0.25">
      <c r="A373" s="374">
        <v>473</v>
      </c>
      <c r="B373" s="44" t="str">
        <f ca="1">CELL("address", 'CapEx, M&amp;A'!J$76)</f>
        <v>'[2025 ACEC-EFCG Key Financials Survey Form - BLANK (Unlocked).xlsx]CapEx, M&amp;A'!$J$76</v>
      </c>
      <c r="C373"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4" spans="1:3" x14ac:dyDescent="0.25">
      <c r="A374" s="374">
        <v>474</v>
      </c>
      <c r="B374" s="44" t="str">
        <f ca="1">CELL("address", 'CapEx, M&amp;A'!K$76)</f>
        <v>'[2025 ACEC-EFCG Key Financials Survey Form - BLANK (Unlocked).xlsx]CapEx, M&amp;A'!$K$76</v>
      </c>
      <c r="C374"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5" spans="1:3" x14ac:dyDescent="0.25">
      <c r="A375" s="374">
        <v>475</v>
      </c>
      <c r="B375" s="44" t="str">
        <f ca="1">CELL("address", 'CapEx, M&amp;A'!L$76)</f>
        <v>'[2025 ACEC-EFCG Key Financials Survey Form - BLANK (Unlocked).xlsx]CapEx, M&amp;A'!$L$76</v>
      </c>
      <c r="C375" s="8" t="str">
        <f ca="1">IF(INDIRECT(DB_Map[[#This Row],[Location]])&lt;&gt;"", INDIRECT(DB_Map[[#This Row],[Location]]), "")</f>
        <v/>
      </c>
    </row>
    <row r="376" spans="1:3" x14ac:dyDescent="0.25">
      <c r="A376" s="374">
        <v>476</v>
      </c>
      <c r="B376" s="44" t="str">
        <f ca="1">CELL("address", 'CapEx, M&amp;A'!M$76)</f>
        <v>'[2025 ACEC-EFCG Key Financials Survey Form - BLANK (Unlocked).xlsx]CapEx, M&amp;A'!$M$76</v>
      </c>
      <c r="C376" s="8" t="str">
        <f ca="1">IF(INDIRECT(DB_Map[[#This Row],[Location]])&lt;&gt;"", INDIRECT(DB_Map[[#This Row],[Location]]), "")</f>
        <v/>
      </c>
    </row>
    <row r="377" spans="1:3" x14ac:dyDescent="0.25">
      <c r="A377" s="374">
        <v>477</v>
      </c>
      <c r="B377" s="44" t="str">
        <f ca="1">CELL("address", 'CapEx, M&amp;A'!H$78)</f>
        <v>'[2025 ACEC-EFCG Key Financials Survey Form - BLANK (Unlocked).xlsx]CapEx, M&amp;A'!$H$78</v>
      </c>
      <c r="C377" s="8" t="str">
        <f ca="1">IF(ISNUMBER(INDEX(DB_Map[Survey Form Value], MATCH(471, DB_Map[ID], 0))),
          IF(INDEX(DB_Map[Survey Form Value], MATCH(471, DB_Map[ID], 0))=0, 0,
                IF(INDIRECT(DB_Map[[#This Row],[Location]])&lt;&gt;"", INDIRECT(DB_Map[[#This Row],[Location]]), "")), "")</f>
        <v/>
      </c>
    </row>
    <row r="378" spans="1:3" x14ac:dyDescent="0.25">
      <c r="A378" s="374">
        <v>478</v>
      </c>
      <c r="B378" s="44" t="str">
        <f ca="1">CELL("address", 'CapEx, M&amp;A'!I$78)</f>
        <v>'[2025 ACEC-EFCG Key Financials Survey Form - BLANK (Unlocked).xlsx]CapEx, M&amp;A'!$I$78</v>
      </c>
      <c r="C378" s="8" t="str">
        <f ca="1">IF(ISNUMBER(INDEX(DB_Map[Survey Form Value], MATCH(472, DB_Map[ID], 0))),
          IF(INDEX(DB_Map[Survey Form Value], MATCH(472, DB_Map[ID], 0))=0, 0,
                IF(INDIRECT(DB_Map[[#This Row],[Location]])&lt;&gt;"", INDIRECT(DB_Map[[#This Row],[Location]]), "")), "")</f>
        <v/>
      </c>
    </row>
    <row r="379" spans="1:3" x14ac:dyDescent="0.25">
      <c r="A379" s="374">
        <v>479</v>
      </c>
      <c r="B379" s="44" t="str">
        <f ca="1">CELL("address", 'CapEx, M&amp;A'!J$78)</f>
        <v>'[2025 ACEC-EFCG Key Financials Survey Form - BLANK (Unlocked).xlsx]CapEx, M&amp;A'!$J$78</v>
      </c>
      <c r="C379" s="8" t="str">
        <f ca="1">IF(ISNUMBER(INDEX(DB_Map[Survey Form Value], MATCH(473, DB_Map[ID], 0))),
          IF(INDEX(DB_Map[Survey Form Value], MATCH(473, DB_Map[ID], 0))=0, 0,
                IF(INDIRECT(DB_Map[[#This Row],[Location]])&lt;&gt;"", INDIRECT(DB_Map[[#This Row],[Location]]), "")), "")</f>
        <v/>
      </c>
    </row>
    <row r="380" spans="1:3" x14ac:dyDescent="0.25">
      <c r="A380" s="374">
        <v>480</v>
      </c>
      <c r="B380" s="44" t="str">
        <f ca="1">CELL("address", 'CapEx, M&amp;A'!K$78)</f>
        <v>'[2025 ACEC-EFCG Key Financials Survey Form - BLANK (Unlocked).xlsx]CapEx, M&amp;A'!$K$78</v>
      </c>
      <c r="C380" s="8" t="str">
        <f ca="1">IF(ISNUMBER(INDEX(DB_Map[Survey Form Value], MATCH(474, DB_Map[ID], 0))),
          IF(INDEX(DB_Map[Survey Form Value], MATCH(474, DB_Map[ID], 0))=0, 0,
                IF(INDIRECT(DB_Map[[#This Row],[Location]])&lt;&gt;"", INDIRECT(DB_Map[[#This Row],[Location]]), "")), "")</f>
        <v/>
      </c>
    </row>
    <row r="381" spans="1:3" x14ac:dyDescent="0.25">
      <c r="A381" s="374">
        <v>481</v>
      </c>
      <c r="B381" s="44" t="str">
        <f ca="1">CELL("address", 'CapEx, M&amp;A'!L$78)</f>
        <v>'[2025 ACEC-EFCG Key Financials Survey Form - BLANK (Unlocked).xlsx]CapEx, M&amp;A'!$L$78</v>
      </c>
      <c r="C381" s="8" t="str">
        <f ca="1">IF(ISNUMBER(INDEX(DB_Map[Survey Form Value], MATCH(475, DB_Map[ID], 0))),
          IF(INDEX(DB_Map[Survey Form Value], MATCH(475, DB_Map[ID], 0))=0, 0,
                IF(INDIRECT(DB_Map[[#This Row],[Location]])&lt;&gt;"", INDIRECT(DB_Map[[#This Row],[Location]]), "")), "")</f>
        <v/>
      </c>
    </row>
    <row r="382" spans="1:3" x14ac:dyDescent="0.25">
      <c r="A382" s="374">
        <v>482</v>
      </c>
      <c r="B382" s="44" t="str">
        <f ca="1">CELL("address", 'CapEx, M&amp;A'!M$78)</f>
        <v>'[2025 ACEC-EFCG Key Financials Survey Form - BLANK (Unlocked).xlsx]CapEx, M&amp;A'!$M$78</v>
      </c>
      <c r="C382" s="8" t="str">
        <f ca="1">IF(ISNUMBER(INDEX(DB_Map[Survey Form Value], MATCH(476, DB_Map[ID], 0))),
          IF(INDEX(DB_Map[Survey Form Value], MATCH(476, DB_Map[ID], 0))=0, 0,
                IF(INDIRECT(DB_Map[[#This Row],[Location]])&lt;&gt;"", INDIRECT(DB_Map[[#This Row],[Location]]), "")), "")</f>
        <v/>
      </c>
    </row>
    <row r="383" spans="1:3" x14ac:dyDescent="0.25">
      <c r="A383">
        <v>684</v>
      </c>
      <c r="B383" s="44" t="str">
        <f ca="1">CELL("address", 'CapEx, M&amp;A'!I114)</f>
        <v>'[2025 ACEC-EFCG Key Financials Survey Form - BLANK (Unlocked).xlsx]CapEx, M&amp;A'!$I$114</v>
      </c>
      <c r="C383" s="8" t="str">
        <f ca="1">IF(INDIRECT(DB_Map[[#This Row],[Location]])&lt;&gt;"", TEXT(INDIRECT(DB_Map[[#This Row],[Location]]), "mm/dd/yyyy"), "")</f>
        <v/>
      </c>
    </row>
    <row r="384" spans="1:3" x14ac:dyDescent="0.25">
      <c r="A384">
        <v>711</v>
      </c>
      <c r="B384" s="44" t="str">
        <f ca="1">CELL("address", 'CapEx, M&amp;A'!I116)</f>
        <v>'[2025 ACEC-EFCG Key Financials Survey Form - BLANK (Unlocked).xlsx]CapEx, M&amp;A'!$I$116</v>
      </c>
      <c r="C384" s="8" t="str">
        <f ca="1">IF(INDIRECT(DB_Map[[#This Row],[Location]])&lt;&gt;"", INDIRECT(DB_Map[[#This Row],[Location]]), "")</f>
        <v/>
      </c>
    </row>
    <row r="385" spans="1:3" x14ac:dyDescent="0.25">
      <c r="A385">
        <v>685</v>
      </c>
      <c r="B385" s="44" t="str">
        <f ca="1">CELL("address", 'CapEx, M&amp;A'!I118)</f>
        <v>'[2025 ACEC-EFCG Key Financials Survey Form - BLANK (Unlocked).xlsx]CapEx, M&amp;A'!$I$118</v>
      </c>
      <c r="C385" s="8" t="str">
        <f ca="1">IF(INDIRECT(DB_Map[[#This Row],[Location]])&lt;&gt;"", INDIRECT(DB_Map[[#This Row],[Location]]), "")</f>
        <v/>
      </c>
    </row>
    <row r="386" spans="1:3" x14ac:dyDescent="0.25">
      <c r="A386">
        <v>873</v>
      </c>
      <c r="B386" s="44" t="str">
        <f ca="1">CELL("address", 'CapEx, M&amp;A'!I120)</f>
        <v>'[2025 ACEC-EFCG Key Financials Survey Form - BLANK (Unlocked).xlsx]CapEx, M&amp;A'!$I$120</v>
      </c>
      <c r="C386" s="8" t="str">
        <f ca="1">IF(INDIRECT(DB_Map[[#This Row],[Location]])&lt;&gt;"", INDIRECT(DB_Map[[#This Row],[Location]]), "")</f>
        <v/>
      </c>
    </row>
    <row r="387" spans="1:3" x14ac:dyDescent="0.25">
      <c r="A387">
        <v>915</v>
      </c>
      <c r="B387" s="44" t="str">
        <f ca="1">CELL("address", 'CapEx, M&amp;A'!I122)</f>
        <v>'[2025 ACEC-EFCG Key Financials Survey Form - BLANK (Unlocked).xlsx]CapEx, M&amp;A'!$I$122</v>
      </c>
      <c r="C387" s="8" t="str">
        <f ca="1">IF(INDIRECT(DB_Map[[#This Row],[Location]])&lt;&gt;"", INDIRECT(DB_Map[[#This Row],[Location]]), "")</f>
        <v/>
      </c>
    </row>
    <row r="388" spans="1:3" x14ac:dyDescent="0.25">
      <c r="A388">
        <v>686</v>
      </c>
      <c r="B388" s="44" t="str">
        <f ca="1">CELL("address", 'CapEx, M&amp;A'!I124)</f>
        <v>'[2025 ACEC-EFCG Key Financials Survey Form - BLANK (Unlocked).xlsx]CapEx, M&amp;A'!$I$124</v>
      </c>
      <c r="C388" s="8" t="str">
        <f ca="1">IF(INDIRECT(DB_Map[[#This Row],[Location]])&lt;&gt;"", INDIRECT(DB_Map[[#This Row],[Location]]), "")</f>
        <v/>
      </c>
    </row>
    <row r="389" spans="1:3" x14ac:dyDescent="0.25">
      <c r="A389">
        <v>712</v>
      </c>
      <c r="B389" s="44" t="str">
        <f ca="1">CELL("address", 'CapEx, M&amp;A'!I126)</f>
        <v>'[2025 ACEC-EFCG Key Financials Survey Form - BLANK (Unlocked).xlsx]CapEx, M&amp;A'!$I$126</v>
      </c>
      <c r="C389" s="8" t="str">
        <f ca="1">IF(INDIRECT(DB_Map[[#This Row],[Location]])&lt;&gt;"", INDIRECT(DB_Map[[#This Row],[Location]]), "")</f>
        <v/>
      </c>
    </row>
    <row r="390" spans="1:3" x14ac:dyDescent="0.25">
      <c r="A390">
        <v>713</v>
      </c>
      <c r="B390" s="44" t="str">
        <f ca="1">CELL("address", 'CapEx, M&amp;A'!I128)</f>
        <v>'[2025 ACEC-EFCG Key Financials Survey Form - BLANK (Unlocked).xlsx]CapEx, M&amp;A'!$I$128</v>
      </c>
      <c r="C390" s="8" t="str">
        <f ca="1">IF(INDIRECT(DB_Map[[#This Row],[Location]])&lt;&gt;"", INDIRECT(DB_Map[[#This Row],[Location]]), "")</f>
        <v/>
      </c>
    </row>
    <row r="391" spans="1:3" x14ac:dyDescent="0.25">
      <c r="A391">
        <v>898</v>
      </c>
      <c r="B391" s="44" t="str">
        <f ca="1">CELL("address", 'CapEx, M&amp;A'!I130)</f>
        <v>'[2025 ACEC-EFCG Key Financials Survey Form - BLANK (Unlocked).xlsx]CapEx, M&amp;A'!$I$130</v>
      </c>
      <c r="C391" s="8" t="str">
        <f ca="1">IF(INDIRECT(DB_Map[[#This Row],[Location]])&lt;&gt;"", INDIRECT(DB_Map[[#This Row],[Location]]), "")</f>
        <v/>
      </c>
    </row>
    <row r="392" spans="1:3" x14ac:dyDescent="0.25">
      <c r="A392">
        <v>878</v>
      </c>
      <c r="B392" s="44" t="str">
        <f ca="1">CELL("address", 'CapEx, M&amp;A'!I134)</f>
        <v>'[2025 ACEC-EFCG Key Financials Survey Form - BLANK (Unlocked).xlsx]CapEx, M&amp;A'!$I$134</v>
      </c>
      <c r="C392" s="8" t="str">
        <f ca="1">IF(INDIRECT(DB_Map[[#This Row],[Location]])&lt;&gt;"", INDIRECT(DB_Map[[#This Row],[Location]]), "")</f>
        <v/>
      </c>
    </row>
    <row r="393" spans="1:3" x14ac:dyDescent="0.25">
      <c r="A393">
        <v>883</v>
      </c>
      <c r="B393" s="44" t="str">
        <f ca="1">CELL("address", 'CapEx, M&amp;A'!I136)</f>
        <v>'[2025 ACEC-EFCG Key Financials Survey Form - BLANK (Unlocked).xlsx]CapEx, M&amp;A'!$I$136</v>
      </c>
      <c r="C393" s="8" t="str">
        <f ca="1">IF(INDIRECT(DB_Map[[#This Row],[Location]])&lt;&gt;"", INDIRECT(DB_Map[[#This Row],[Location]]), "")</f>
        <v/>
      </c>
    </row>
    <row r="394" spans="1:3" x14ac:dyDescent="0.25">
      <c r="A394">
        <v>888</v>
      </c>
      <c r="B394" s="44" t="str">
        <f ca="1">CELL("address", 'CapEx, M&amp;A'!I138)</f>
        <v>'[2025 ACEC-EFCG Key Financials Survey Form - BLANK (Unlocked).xlsx]CapEx, M&amp;A'!$I$138</v>
      </c>
      <c r="C394" s="8" t="str">
        <f ca="1">IF(INDIRECT(DB_Map[[#This Row],[Location]])&lt;&gt;"", INDIRECT(DB_Map[[#This Row],[Location]]), "")</f>
        <v/>
      </c>
    </row>
    <row r="395" spans="1:3" x14ac:dyDescent="0.25">
      <c r="A395">
        <v>893</v>
      </c>
      <c r="B395" s="44" t="str">
        <f ca="1">CELL("address", 'CapEx, M&amp;A'!I140)</f>
        <v>'[2025 ACEC-EFCG Key Financials Survey Form - BLANK (Unlocked).xlsx]CapEx, M&amp;A'!$I$140</v>
      </c>
      <c r="C395" s="8" t="str">
        <f ca="1">IF(INDIRECT(DB_Map[[#This Row],[Location]])&lt;&gt;"", INDIRECT(DB_Map[[#This Row],[Location]]), "")</f>
        <v/>
      </c>
    </row>
    <row r="396" spans="1:3" x14ac:dyDescent="0.25">
      <c r="A396">
        <v>687</v>
      </c>
      <c r="B396" s="44" t="str">
        <f ca="1">CELL("address", 'CapEx, M&amp;A'!J114)</f>
        <v>'[2025 ACEC-EFCG Key Financials Survey Form - BLANK (Unlocked).xlsx]CapEx, M&amp;A'!$J$114</v>
      </c>
      <c r="C396" s="8" t="str">
        <f ca="1">IF(INDIRECT(DB_Map[[#This Row],[Location]])&lt;&gt;"", TEXT(INDIRECT(DB_Map[[#This Row],[Location]]), "mm/dd/yyyy"), "")</f>
        <v/>
      </c>
    </row>
    <row r="397" spans="1:3" x14ac:dyDescent="0.25">
      <c r="A397">
        <v>714</v>
      </c>
      <c r="B397" s="44" t="str">
        <f ca="1">CELL("address", 'CapEx, M&amp;A'!J116)</f>
        <v>'[2025 ACEC-EFCG Key Financials Survey Form - BLANK (Unlocked).xlsx]CapEx, M&amp;A'!$J$116</v>
      </c>
      <c r="C397" s="8" t="str">
        <f ca="1">IF(INDIRECT(DB_Map[[#This Row],[Location]])&lt;&gt;"", INDIRECT(DB_Map[[#This Row],[Location]]), "")</f>
        <v/>
      </c>
    </row>
    <row r="398" spans="1:3" x14ac:dyDescent="0.25">
      <c r="A398">
        <v>688</v>
      </c>
      <c r="B398" s="44" t="str">
        <f ca="1">CELL("address", 'CapEx, M&amp;A'!J118)</f>
        <v>'[2025 ACEC-EFCG Key Financials Survey Form - BLANK (Unlocked).xlsx]CapEx, M&amp;A'!$J$118</v>
      </c>
      <c r="C398" s="8" t="str">
        <f ca="1">IF(INDIRECT(DB_Map[[#This Row],[Location]])&lt;&gt;"", INDIRECT(DB_Map[[#This Row],[Location]]), "")</f>
        <v/>
      </c>
    </row>
    <row r="399" spans="1:3" x14ac:dyDescent="0.25">
      <c r="A399">
        <v>874</v>
      </c>
      <c r="B399" s="44" t="str">
        <f ca="1">CELL("address", 'CapEx, M&amp;A'!J120)</f>
        <v>'[2025 ACEC-EFCG Key Financials Survey Form - BLANK (Unlocked).xlsx]CapEx, M&amp;A'!$J$120</v>
      </c>
      <c r="C399" s="8" t="str">
        <f ca="1">IF(INDIRECT(DB_Map[[#This Row],[Location]])&lt;&gt;"", INDIRECT(DB_Map[[#This Row],[Location]]), "")</f>
        <v/>
      </c>
    </row>
    <row r="400" spans="1:3" x14ac:dyDescent="0.25">
      <c r="A400">
        <v>916</v>
      </c>
      <c r="B400" s="44" t="str">
        <f ca="1">CELL("address", 'CapEx, M&amp;A'!J122)</f>
        <v>'[2025 ACEC-EFCG Key Financials Survey Form - BLANK (Unlocked).xlsx]CapEx, M&amp;A'!$J$122</v>
      </c>
      <c r="C400" s="8" t="str">
        <f ca="1">IF(INDIRECT(DB_Map[[#This Row],[Location]])&lt;&gt;"", INDIRECT(DB_Map[[#This Row],[Location]]), "")</f>
        <v/>
      </c>
    </row>
    <row r="401" spans="1:3" x14ac:dyDescent="0.25">
      <c r="A401">
        <v>689</v>
      </c>
      <c r="B401" s="44" t="str">
        <f ca="1">CELL("address", 'CapEx, M&amp;A'!J124)</f>
        <v>'[2025 ACEC-EFCG Key Financials Survey Form - BLANK (Unlocked).xlsx]CapEx, M&amp;A'!$J$124</v>
      </c>
      <c r="C401" s="8" t="str">
        <f ca="1">IF(INDIRECT(DB_Map[[#This Row],[Location]])&lt;&gt;"", INDIRECT(DB_Map[[#This Row],[Location]]), "")</f>
        <v/>
      </c>
    </row>
    <row r="402" spans="1:3" x14ac:dyDescent="0.25">
      <c r="A402">
        <v>715</v>
      </c>
      <c r="B402" s="44" t="str">
        <f ca="1">CELL("address", 'CapEx, M&amp;A'!J126)</f>
        <v>'[2025 ACEC-EFCG Key Financials Survey Form - BLANK (Unlocked).xlsx]CapEx, M&amp;A'!$J$126</v>
      </c>
      <c r="C402" s="8" t="str">
        <f ca="1">IF(INDIRECT(DB_Map[[#This Row],[Location]])&lt;&gt;"", INDIRECT(DB_Map[[#This Row],[Location]]), "")</f>
        <v/>
      </c>
    </row>
    <row r="403" spans="1:3" x14ac:dyDescent="0.25">
      <c r="A403">
        <v>716</v>
      </c>
      <c r="B403" s="44" t="str">
        <f ca="1">CELL("address", 'CapEx, M&amp;A'!J128)</f>
        <v>'[2025 ACEC-EFCG Key Financials Survey Form - BLANK (Unlocked).xlsx]CapEx, M&amp;A'!$J$128</v>
      </c>
      <c r="C403" s="8" t="str">
        <f ca="1">IF(INDIRECT(DB_Map[[#This Row],[Location]])&lt;&gt;"", INDIRECT(DB_Map[[#This Row],[Location]]), "")</f>
        <v/>
      </c>
    </row>
    <row r="404" spans="1:3" x14ac:dyDescent="0.25">
      <c r="A404">
        <v>899</v>
      </c>
      <c r="B404" s="44" t="str">
        <f ca="1">CELL("address", 'CapEx, M&amp;A'!J130)</f>
        <v>'[2025 ACEC-EFCG Key Financials Survey Form - BLANK (Unlocked).xlsx]CapEx, M&amp;A'!$J$130</v>
      </c>
      <c r="C404" s="8" t="str">
        <f ca="1">IF(INDIRECT(DB_Map[[#This Row],[Location]])&lt;&gt;"", INDIRECT(DB_Map[[#This Row],[Location]]), "")</f>
        <v/>
      </c>
    </row>
    <row r="405" spans="1:3" x14ac:dyDescent="0.25">
      <c r="A405">
        <v>879</v>
      </c>
      <c r="B405" s="44" t="str">
        <f ca="1">CELL("address", 'CapEx, M&amp;A'!J134)</f>
        <v>'[2025 ACEC-EFCG Key Financials Survey Form - BLANK (Unlocked).xlsx]CapEx, M&amp;A'!$J$134</v>
      </c>
      <c r="C405" s="8" t="str">
        <f ca="1">IF(INDIRECT(DB_Map[[#This Row],[Location]])&lt;&gt;"", INDIRECT(DB_Map[[#This Row],[Location]]), "")</f>
        <v/>
      </c>
    </row>
    <row r="406" spans="1:3" x14ac:dyDescent="0.25">
      <c r="A406">
        <v>884</v>
      </c>
      <c r="B406" s="44" t="str">
        <f ca="1">CELL("address", 'CapEx, M&amp;A'!J136)</f>
        <v>'[2025 ACEC-EFCG Key Financials Survey Form - BLANK (Unlocked).xlsx]CapEx, M&amp;A'!$J$136</v>
      </c>
      <c r="C406" s="8" t="str">
        <f ca="1">IF(INDIRECT(DB_Map[[#This Row],[Location]])&lt;&gt;"", INDIRECT(DB_Map[[#This Row],[Location]]), "")</f>
        <v/>
      </c>
    </row>
    <row r="407" spans="1:3" x14ac:dyDescent="0.25">
      <c r="A407">
        <v>889</v>
      </c>
      <c r="B407" s="44" t="str">
        <f ca="1">CELL("address", 'CapEx, M&amp;A'!J138)</f>
        <v>'[2025 ACEC-EFCG Key Financials Survey Form - BLANK (Unlocked).xlsx]CapEx, M&amp;A'!$J$138</v>
      </c>
      <c r="C407" s="8" t="str">
        <f ca="1">IF(INDIRECT(DB_Map[[#This Row],[Location]])&lt;&gt;"", INDIRECT(DB_Map[[#This Row],[Location]]), "")</f>
        <v/>
      </c>
    </row>
    <row r="408" spans="1:3" x14ac:dyDescent="0.25">
      <c r="A408">
        <v>894</v>
      </c>
      <c r="B408" s="44" t="str">
        <f ca="1">CELL("address", 'CapEx, M&amp;A'!J140)</f>
        <v>'[2025 ACEC-EFCG Key Financials Survey Form - BLANK (Unlocked).xlsx]CapEx, M&amp;A'!$J$140</v>
      </c>
      <c r="C408" s="8" t="str">
        <f ca="1">IF(INDIRECT(DB_Map[[#This Row],[Location]])&lt;&gt;"", INDIRECT(DB_Map[[#This Row],[Location]]), "")</f>
        <v/>
      </c>
    </row>
    <row r="409" spans="1:3" x14ac:dyDescent="0.25">
      <c r="A409">
        <v>690</v>
      </c>
      <c r="B409" s="44" t="str">
        <f ca="1">CELL("address", 'CapEx, M&amp;A'!K114)</f>
        <v>'[2025 ACEC-EFCG Key Financials Survey Form - BLANK (Unlocked).xlsx]CapEx, M&amp;A'!$K$114</v>
      </c>
      <c r="C409" s="8" t="str">
        <f ca="1">IF(INDIRECT(DB_Map[[#This Row],[Location]])&lt;&gt;"", TEXT(INDIRECT(DB_Map[[#This Row],[Location]]), "mm/dd/yyyy"), "")</f>
        <v/>
      </c>
    </row>
    <row r="410" spans="1:3" x14ac:dyDescent="0.25">
      <c r="A410">
        <v>717</v>
      </c>
      <c r="B410" s="44" t="str">
        <f ca="1">CELL("address", 'CapEx, M&amp;A'!K116)</f>
        <v>'[2025 ACEC-EFCG Key Financials Survey Form - BLANK (Unlocked).xlsx]CapEx, M&amp;A'!$K$116</v>
      </c>
      <c r="C410" s="8" t="str">
        <f ca="1">IF(INDIRECT(DB_Map[[#This Row],[Location]])&lt;&gt;"", INDIRECT(DB_Map[[#This Row],[Location]]), "")</f>
        <v/>
      </c>
    </row>
    <row r="411" spans="1:3" x14ac:dyDescent="0.25">
      <c r="A411">
        <v>691</v>
      </c>
      <c r="B411" s="44" t="str">
        <f ca="1">CELL("address", 'CapEx, M&amp;A'!K118)</f>
        <v>'[2025 ACEC-EFCG Key Financials Survey Form - BLANK (Unlocked).xlsx]CapEx, M&amp;A'!$K$118</v>
      </c>
      <c r="C411" s="8" t="str">
        <f ca="1">IF(INDIRECT(DB_Map[[#This Row],[Location]])&lt;&gt;"", INDIRECT(DB_Map[[#This Row],[Location]]), "")</f>
        <v/>
      </c>
    </row>
    <row r="412" spans="1:3" x14ac:dyDescent="0.25">
      <c r="A412">
        <v>875</v>
      </c>
      <c r="B412" s="44" t="str">
        <f ca="1">CELL("address", 'CapEx, M&amp;A'!K120)</f>
        <v>'[2025 ACEC-EFCG Key Financials Survey Form - BLANK (Unlocked).xlsx]CapEx, M&amp;A'!$K$120</v>
      </c>
      <c r="C412" s="8" t="str">
        <f ca="1">IF(INDIRECT(DB_Map[[#This Row],[Location]])&lt;&gt;"", INDIRECT(DB_Map[[#This Row],[Location]]), "")</f>
        <v/>
      </c>
    </row>
    <row r="413" spans="1:3" x14ac:dyDescent="0.25">
      <c r="A413">
        <v>917</v>
      </c>
      <c r="B413" s="44" t="str">
        <f ca="1">CELL("address", 'CapEx, M&amp;A'!K122)</f>
        <v>'[2025 ACEC-EFCG Key Financials Survey Form - BLANK (Unlocked).xlsx]CapEx, M&amp;A'!$K$122</v>
      </c>
      <c r="C413" s="8" t="str">
        <f ca="1">IF(INDIRECT(DB_Map[[#This Row],[Location]])&lt;&gt;"", INDIRECT(DB_Map[[#This Row],[Location]]), "")</f>
        <v/>
      </c>
    </row>
    <row r="414" spans="1:3" x14ac:dyDescent="0.25">
      <c r="A414">
        <v>692</v>
      </c>
      <c r="B414" s="44" t="str">
        <f ca="1">CELL("address", 'CapEx, M&amp;A'!K124)</f>
        <v>'[2025 ACEC-EFCG Key Financials Survey Form - BLANK (Unlocked).xlsx]CapEx, M&amp;A'!$K$124</v>
      </c>
      <c r="C414" s="8" t="str">
        <f ca="1">IF(INDIRECT(DB_Map[[#This Row],[Location]])&lt;&gt;"", INDIRECT(DB_Map[[#This Row],[Location]]), "")</f>
        <v/>
      </c>
    </row>
    <row r="415" spans="1:3" x14ac:dyDescent="0.25">
      <c r="A415">
        <v>718</v>
      </c>
      <c r="B415" s="44" t="str">
        <f ca="1">CELL("address", 'CapEx, M&amp;A'!K126)</f>
        <v>'[2025 ACEC-EFCG Key Financials Survey Form - BLANK (Unlocked).xlsx]CapEx, M&amp;A'!$K$126</v>
      </c>
      <c r="C415" s="8" t="str">
        <f ca="1">IF(INDIRECT(DB_Map[[#This Row],[Location]])&lt;&gt;"", INDIRECT(DB_Map[[#This Row],[Location]]), "")</f>
        <v/>
      </c>
    </row>
    <row r="416" spans="1:3" x14ac:dyDescent="0.25">
      <c r="A416">
        <v>719</v>
      </c>
      <c r="B416" s="44" t="str">
        <f ca="1">CELL("address", 'CapEx, M&amp;A'!K128)</f>
        <v>'[2025 ACEC-EFCG Key Financials Survey Form - BLANK (Unlocked).xlsx]CapEx, M&amp;A'!$K$128</v>
      </c>
      <c r="C416" s="8" t="str">
        <f ca="1">IF(INDIRECT(DB_Map[[#This Row],[Location]])&lt;&gt;"", INDIRECT(DB_Map[[#This Row],[Location]]), "")</f>
        <v/>
      </c>
    </row>
    <row r="417" spans="1:3" x14ac:dyDescent="0.25">
      <c r="A417">
        <v>900</v>
      </c>
      <c r="B417" s="44" t="str">
        <f ca="1">CELL("address", 'CapEx, M&amp;A'!K130)</f>
        <v>'[2025 ACEC-EFCG Key Financials Survey Form - BLANK (Unlocked).xlsx]CapEx, M&amp;A'!$K$130</v>
      </c>
      <c r="C417" s="8" t="str">
        <f ca="1">IF(INDIRECT(DB_Map[[#This Row],[Location]])&lt;&gt;"", INDIRECT(DB_Map[[#This Row],[Location]]), "")</f>
        <v/>
      </c>
    </row>
    <row r="418" spans="1:3" x14ac:dyDescent="0.25">
      <c r="A418">
        <v>880</v>
      </c>
      <c r="B418" s="44" t="str">
        <f ca="1">CELL("address", 'CapEx, M&amp;A'!K134)</f>
        <v>'[2025 ACEC-EFCG Key Financials Survey Form - BLANK (Unlocked).xlsx]CapEx, M&amp;A'!$K$134</v>
      </c>
      <c r="C418" s="8" t="str">
        <f ca="1">IF(INDIRECT(DB_Map[[#This Row],[Location]])&lt;&gt;"", INDIRECT(DB_Map[[#This Row],[Location]]), "")</f>
        <v/>
      </c>
    </row>
    <row r="419" spans="1:3" x14ac:dyDescent="0.25">
      <c r="A419">
        <v>885</v>
      </c>
      <c r="B419" s="44" t="str">
        <f ca="1">CELL("address", 'CapEx, M&amp;A'!K136)</f>
        <v>'[2025 ACEC-EFCG Key Financials Survey Form - BLANK (Unlocked).xlsx]CapEx, M&amp;A'!$K$136</v>
      </c>
      <c r="C419" s="8" t="str">
        <f ca="1">IF(INDIRECT(DB_Map[[#This Row],[Location]])&lt;&gt;"", INDIRECT(DB_Map[[#This Row],[Location]]), "")</f>
        <v/>
      </c>
    </row>
    <row r="420" spans="1:3" x14ac:dyDescent="0.25">
      <c r="A420">
        <v>890</v>
      </c>
      <c r="B420" s="44" t="str">
        <f ca="1">CELL("address", 'CapEx, M&amp;A'!K138)</f>
        <v>'[2025 ACEC-EFCG Key Financials Survey Form - BLANK (Unlocked).xlsx]CapEx, M&amp;A'!$K$138</v>
      </c>
      <c r="C420" s="8" t="str">
        <f ca="1">IF(INDIRECT(DB_Map[[#This Row],[Location]])&lt;&gt;"", INDIRECT(DB_Map[[#This Row],[Location]]), "")</f>
        <v/>
      </c>
    </row>
    <row r="421" spans="1:3" x14ac:dyDescent="0.25">
      <c r="A421">
        <v>895</v>
      </c>
      <c r="B421" s="44" t="str">
        <f ca="1">CELL("address", 'CapEx, M&amp;A'!K140)</f>
        <v>'[2025 ACEC-EFCG Key Financials Survey Form - BLANK (Unlocked).xlsx]CapEx, M&amp;A'!$K$140</v>
      </c>
      <c r="C421" s="8" t="str">
        <f ca="1">IF(INDIRECT(DB_Map[[#This Row],[Location]])&lt;&gt;"", INDIRECT(DB_Map[[#This Row],[Location]]), "")</f>
        <v/>
      </c>
    </row>
    <row r="422" spans="1:3" x14ac:dyDescent="0.25">
      <c r="A422">
        <v>693</v>
      </c>
      <c r="B422" s="44" t="str">
        <f ca="1">CELL("address", 'CapEx, M&amp;A'!L114)</f>
        <v>'[2025 ACEC-EFCG Key Financials Survey Form - BLANK (Unlocked).xlsx]CapEx, M&amp;A'!$L$114</v>
      </c>
      <c r="C422" s="8" t="str">
        <f ca="1">IF(INDIRECT(DB_Map[[#This Row],[Location]])&lt;&gt;"", TEXT(INDIRECT(DB_Map[[#This Row],[Location]]), "mm/dd/yyyy"), "")</f>
        <v/>
      </c>
    </row>
    <row r="423" spans="1:3" x14ac:dyDescent="0.25">
      <c r="A423">
        <v>720</v>
      </c>
      <c r="B423" s="44" t="str">
        <f ca="1">CELL("address", 'CapEx, M&amp;A'!L116)</f>
        <v>'[2025 ACEC-EFCG Key Financials Survey Form - BLANK (Unlocked).xlsx]CapEx, M&amp;A'!$L$116</v>
      </c>
      <c r="C423" s="8" t="str">
        <f ca="1">IF(INDIRECT(DB_Map[[#This Row],[Location]])&lt;&gt;"", INDIRECT(DB_Map[[#This Row],[Location]]), "")</f>
        <v/>
      </c>
    </row>
    <row r="424" spans="1:3" x14ac:dyDescent="0.25">
      <c r="A424">
        <v>694</v>
      </c>
      <c r="B424" s="44" t="str">
        <f ca="1">CELL("address", 'CapEx, M&amp;A'!L118)</f>
        <v>'[2025 ACEC-EFCG Key Financials Survey Form - BLANK (Unlocked).xlsx]CapEx, M&amp;A'!$L$118</v>
      </c>
      <c r="C424" s="8" t="str">
        <f ca="1">IF(INDIRECT(DB_Map[[#This Row],[Location]])&lt;&gt;"", INDIRECT(DB_Map[[#This Row],[Location]]), "")</f>
        <v/>
      </c>
    </row>
    <row r="425" spans="1:3" x14ac:dyDescent="0.25">
      <c r="A425">
        <v>876</v>
      </c>
      <c r="B425" s="44" t="str">
        <f ca="1">CELL("address", 'CapEx, M&amp;A'!L120)</f>
        <v>'[2025 ACEC-EFCG Key Financials Survey Form - BLANK (Unlocked).xlsx]CapEx, M&amp;A'!$L$120</v>
      </c>
      <c r="C425" s="8" t="str">
        <f ca="1">IF(INDIRECT(DB_Map[[#This Row],[Location]])&lt;&gt;"", INDIRECT(DB_Map[[#This Row],[Location]]), "")</f>
        <v/>
      </c>
    </row>
    <row r="426" spans="1:3" x14ac:dyDescent="0.25">
      <c r="A426">
        <v>918</v>
      </c>
      <c r="B426" s="44" t="str">
        <f ca="1">CELL("address", 'CapEx, M&amp;A'!L122)</f>
        <v>'[2025 ACEC-EFCG Key Financials Survey Form - BLANK (Unlocked).xlsx]CapEx, M&amp;A'!$L$122</v>
      </c>
      <c r="C426" s="8" t="str">
        <f ca="1">IF(INDIRECT(DB_Map[[#This Row],[Location]])&lt;&gt;"", INDIRECT(DB_Map[[#This Row],[Location]]), "")</f>
        <v/>
      </c>
    </row>
    <row r="427" spans="1:3" x14ac:dyDescent="0.25">
      <c r="A427">
        <v>695</v>
      </c>
      <c r="B427" s="44" t="str">
        <f ca="1">CELL("address", 'CapEx, M&amp;A'!L124)</f>
        <v>'[2025 ACEC-EFCG Key Financials Survey Form - BLANK (Unlocked).xlsx]CapEx, M&amp;A'!$L$124</v>
      </c>
      <c r="C427" s="8" t="str">
        <f ca="1">IF(INDIRECT(DB_Map[[#This Row],[Location]])&lt;&gt;"", INDIRECT(DB_Map[[#This Row],[Location]]), "")</f>
        <v/>
      </c>
    </row>
    <row r="428" spans="1:3" x14ac:dyDescent="0.25">
      <c r="A428">
        <v>721</v>
      </c>
      <c r="B428" s="44" t="str">
        <f ca="1">CELL("address", 'CapEx, M&amp;A'!L126)</f>
        <v>'[2025 ACEC-EFCG Key Financials Survey Form - BLANK (Unlocked).xlsx]CapEx, M&amp;A'!$L$126</v>
      </c>
      <c r="C428" s="8" t="str">
        <f ca="1">IF(INDIRECT(DB_Map[[#This Row],[Location]])&lt;&gt;"", INDIRECT(DB_Map[[#This Row],[Location]]), "")</f>
        <v/>
      </c>
    </row>
    <row r="429" spans="1:3" x14ac:dyDescent="0.25">
      <c r="A429">
        <v>722</v>
      </c>
      <c r="B429" s="44" t="str">
        <f ca="1">CELL("address", 'CapEx, M&amp;A'!L128)</f>
        <v>'[2025 ACEC-EFCG Key Financials Survey Form - BLANK (Unlocked).xlsx]CapEx, M&amp;A'!$L$128</v>
      </c>
      <c r="C429" s="8" t="str">
        <f ca="1">IF(INDIRECT(DB_Map[[#This Row],[Location]])&lt;&gt;"", INDIRECT(DB_Map[[#This Row],[Location]]), "")</f>
        <v/>
      </c>
    </row>
    <row r="430" spans="1:3" x14ac:dyDescent="0.25">
      <c r="A430">
        <v>901</v>
      </c>
      <c r="B430" s="44" t="str">
        <f ca="1">CELL("address", 'CapEx, M&amp;A'!L130)</f>
        <v>'[2025 ACEC-EFCG Key Financials Survey Form - BLANK (Unlocked).xlsx]CapEx, M&amp;A'!$L$130</v>
      </c>
      <c r="C430" s="8" t="str">
        <f ca="1">IF(INDIRECT(DB_Map[[#This Row],[Location]])&lt;&gt;"", INDIRECT(DB_Map[[#This Row],[Location]]), "")</f>
        <v/>
      </c>
    </row>
    <row r="431" spans="1:3" x14ac:dyDescent="0.25">
      <c r="A431">
        <v>881</v>
      </c>
      <c r="B431" s="44" t="str">
        <f ca="1">CELL("address", 'CapEx, M&amp;A'!L134)</f>
        <v>'[2025 ACEC-EFCG Key Financials Survey Form - BLANK (Unlocked).xlsx]CapEx, M&amp;A'!$L$134</v>
      </c>
      <c r="C431" s="8" t="str">
        <f ca="1">IF(INDIRECT(DB_Map[[#This Row],[Location]])&lt;&gt;"", INDIRECT(DB_Map[[#This Row],[Location]]), "")</f>
        <v/>
      </c>
    </row>
    <row r="432" spans="1:3" x14ac:dyDescent="0.25">
      <c r="A432">
        <v>886</v>
      </c>
      <c r="B432" s="44" t="str">
        <f ca="1">CELL("address", 'CapEx, M&amp;A'!L1156)</f>
        <v>'[2025 ACEC-EFCG Key Financials Survey Form - BLANK (Unlocked).xlsx]CapEx, M&amp;A'!$L$1156</v>
      </c>
      <c r="C432" s="8" t="str">
        <f ca="1">IF(INDIRECT(DB_Map[[#This Row],[Location]])&lt;&gt;"", INDIRECT(DB_Map[[#This Row],[Location]]), "")</f>
        <v/>
      </c>
    </row>
    <row r="433" spans="1:3" x14ac:dyDescent="0.25">
      <c r="A433">
        <v>891</v>
      </c>
      <c r="B433" s="44" t="str">
        <f ca="1">CELL("address", 'CapEx, M&amp;A'!L138)</f>
        <v>'[2025 ACEC-EFCG Key Financials Survey Form - BLANK (Unlocked).xlsx]CapEx, M&amp;A'!$L$138</v>
      </c>
      <c r="C433" s="8" t="str">
        <f ca="1">IF(INDIRECT(DB_Map[[#This Row],[Location]])&lt;&gt;"", INDIRECT(DB_Map[[#This Row],[Location]]), "")</f>
        <v/>
      </c>
    </row>
    <row r="434" spans="1:3" x14ac:dyDescent="0.25">
      <c r="A434">
        <v>896</v>
      </c>
      <c r="B434" s="44" t="str">
        <f ca="1">CELL("address", 'CapEx, M&amp;A'!L140)</f>
        <v>'[2025 ACEC-EFCG Key Financials Survey Form - BLANK (Unlocked).xlsx]CapEx, M&amp;A'!$L$140</v>
      </c>
      <c r="C434" s="8" t="str">
        <f ca="1">IF(INDIRECT(DB_Map[[#This Row],[Location]])&lt;&gt;"", INDIRECT(DB_Map[[#This Row],[Location]]), "")</f>
        <v/>
      </c>
    </row>
    <row r="435" spans="1:3" x14ac:dyDescent="0.25">
      <c r="A435">
        <v>696</v>
      </c>
      <c r="B435" s="44" t="str">
        <f ca="1">CELL("address", 'CapEx, M&amp;A'!M114)</f>
        <v>'[2025 ACEC-EFCG Key Financials Survey Form - BLANK (Unlocked).xlsx]CapEx, M&amp;A'!$M$114</v>
      </c>
      <c r="C435" s="8" t="str">
        <f ca="1">IF(INDIRECT(DB_Map[[#This Row],[Location]])&lt;&gt;"", TEXT(INDIRECT(DB_Map[[#This Row],[Location]]), "mm/dd/yyyy"), "")</f>
        <v/>
      </c>
    </row>
    <row r="436" spans="1:3" x14ac:dyDescent="0.25">
      <c r="A436">
        <v>723</v>
      </c>
      <c r="B436" s="44" t="str">
        <f ca="1">CELL("address", 'CapEx, M&amp;A'!M116)</f>
        <v>'[2025 ACEC-EFCG Key Financials Survey Form - BLANK (Unlocked).xlsx]CapEx, M&amp;A'!$M$116</v>
      </c>
      <c r="C436" s="8" t="str">
        <f ca="1">IF(INDIRECT(DB_Map[[#This Row],[Location]])&lt;&gt;"", INDIRECT(DB_Map[[#This Row],[Location]]), "")</f>
        <v/>
      </c>
    </row>
    <row r="437" spans="1:3" x14ac:dyDescent="0.25">
      <c r="A437">
        <v>697</v>
      </c>
      <c r="B437" s="44" t="str">
        <f ca="1">CELL("address", 'CapEx, M&amp;A'!M118)</f>
        <v>'[2025 ACEC-EFCG Key Financials Survey Form - BLANK (Unlocked).xlsx]CapEx, M&amp;A'!$M$118</v>
      </c>
      <c r="C437" s="8" t="str">
        <f ca="1">IF(INDIRECT(DB_Map[[#This Row],[Location]])&lt;&gt;"", INDIRECT(DB_Map[[#This Row],[Location]]), "")</f>
        <v/>
      </c>
    </row>
    <row r="438" spans="1:3" x14ac:dyDescent="0.25">
      <c r="A438">
        <v>877</v>
      </c>
      <c r="B438" s="44" t="str">
        <f ca="1">CELL("address", 'CapEx, M&amp;A'!M120)</f>
        <v>'[2025 ACEC-EFCG Key Financials Survey Form - BLANK (Unlocked).xlsx]CapEx, M&amp;A'!$M$120</v>
      </c>
      <c r="C438" s="8" t="str">
        <f ca="1">IF(INDIRECT(DB_Map[[#This Row],[Location]])&lt;&gt;"", INDIRECT(DB_Map[[#This Row],[Location]]), "")</f>
        <v/>
      </c>
    </row>
    <row r="439" spans="1:3" x14ac:dyDescent="0.25">
      <c r="A439">
        <v>919</v>
      </c>
      <c r="B439" s="44" t="str">
        <f ca="1">CELL("address", 'CapEx, M&amp;A'!M122)</f>
        <v>'[2025 ACEC-EFCG Key Financials Survey Form - BLANK (Unlocked).xlsx]CapEx, M&amp;A'!$M$122</v>
      </c>
      <c r="C439" s="8" t="str">
        <f ca="1">IF(INDIRECT(DB_Map[[#This Row],[Location]])&lt;&gt;"", INDIRECT(DB_Map[[#This Row],[Location]]), "")</f>
        <v/>
      </c>
    </row>
    <row r="440" spans="1:3" x14ac:dyDescent="0.25">
      <c r="A440">
        <v>698</v>
      </c>
      <c r="B440" s="44" t="str">
        <f ca="1">CELL("address", 'CapEx, M&amp;A'!M124)</f>
        <v>'[2025 ACEC-EFCG Key Financials Survey Form - BLANK (Unlocked).xlsx]CapEx, M&amp;A'!$M$124</v>
      </c>
      <c r="C440" s="8" t="str">
        <f ca="1">IF(INDIRECT(DB_Map[[#This Row],[Location]])&lt;&gt;"", INDIRECT(DB_Map[[#This Row],[Location]]), "")</f>
        <v/>
      </c>
    </row>
    <row r="441" spans="1:3" x14ac:dyDescent="0.25">
      <c r="A441">
        <v>724</v>
      </c>
      <c r="B441" s="44" t="str">
        <f ca="1">CELL("address", 'CapEx, M&amp;A'!M126)</f>
        <v>'[2025 ACEC-EFCG Key Financials Survey Form - BLANK (Unlocked).xlsx]CapEx, M&amp;A'!$M$126</v>
      </c>
      <c r="C441" s="8" t="str">
        <f ca="1">IF(INDIRECT(DB_Map[[#This Row],[Location]])&lt;&gt;"", INDIRECT(DB_Map[[#This Row],[Location]]), "")</f>
        <v/>
      </c>
    </row>
    <row r="442" spans="1:3" x14ac:dyDescent="0.25">
      <c r="A442">
        <v>725</v>
      </c>
      <c r="B442" s="44" t="str">
        <f ca="1">CELL("address", 'CapEx, M&amp;A'!M128)</f>
        <v>'[2025 ACEC-EFCG Key Financials Survey Form - BLANK (Unlocked).xlsx]CapEx, M&amp;A'!$M$128</v>
      </c>
      <c r="C442" s="8" t="str">
        <f ca="1">IF(INDIRECT(DB_Map[[#This Row],[Location]])&lt;&gt;"", INDIRECT(DB_Map[[#This Row],[Location]]), "")</f>
        <v/>
      </c>
    </row>
    <row r="443" spans="1:3" x14ac:dyDescent="0.25">
      <c r="A443">
        <v>902</v>
      </c>
      <c r="B443" s="44" t="str">
        <f ca="1">CELL("address", 'CapEx, M&amp;A'!M130)</f>
        <v>'[2025 ACEC-EFCG Key Financials Survey Form - BLANK (Unlocked).xlsx]CapEx, M&amp;A'!$M$130</v>
      </c>
      <c r="C443" s="8" t="str">
        <f ca="1">IF(INDIRECT(DB_Map[[#This Row],[Location]])&lt;&gt;"", INDIRECT(DB_Map[[#This Row],[Location]]), "")</f>
        <v/>
      </c>
    </row>
    <row r="444" spans="1:3" x14ac:dyDescent="0.25">
      <c r="A444">
        <v>882</v>
      </c>
      <c r="B444" s="44" t="str">
        <f ca="1">CELL("address", 'CapEx, M&amp;A'!M134)</f>
        <v>'[2025 ACEC-EFCG Key Financials Survey Form - BLANK (Unlocked).xlsx]CapEx, M&amp;A'!$M$134</v>
      </c>
      <c r="C444" s="8" t="str">
        <f ca="1">IF(INDIRECT(DB_Map[[#This Row],[Location]])&lt;&gt;"", INDIRECT(DB_Map[[#This Row],[Location]]), "")</f>
        <v/>
      </c>
    </row>
    <row r="445" spans="1:3" x14ac:dyDescent="0.25">
      <c r="A445">
        <v>887</v>
      </c>
      <c r="B445" s="44" t="str">
        <f ca="1">CELL("address", 'CapEx, M&amp;A'!M136)</f>
        <v>'[2025 ACEC-EFCG Key Financials Survey Form - BLANK (Unlocked).xlsx]CapEx, M&amp;A'!$M$136</v>
      </c>
      <c r="C445" s="8" t="str">
        <f ca="1">IF(INDIRECT(DB_Map[[#This Row],[Location]])&lt;&gt;"", INDIRECT(DB_Map[[#This Row],[Location]]), "")</f>
        <v/>
      </c>
    </row>
    <row r="446" spans="1:3" x14ac:dyDescent="0.25">
      <c r="A446">
        <v>892</v>
      </c>
      <c r="B446" s="44" t="str">
        <f ca="1">CELL("address", 'CapEx, M&amp;A'!M138)</f>
        <v>'[2025 ACEC-EFCG Key Financials Survey Form - BLANK (Unlocked).xlsx]CapEx, M&amp;A'!$M$138</v>
      </c>
      <c r="C446" s="8" t="str">
        <f ca="1">IF(INDIRECT(DB_Map[[#This Row],[Location]])&lt;&gt;"", INDIRECT(DB_Map[[#This Row],[Location]]), "")</f>
        <v/>
      </c>
    </row>
    <row r="447" spans="1:3" x14ac:dyDescent="0.25">
      <c r="A447">
        <v>897</v>
      </c>
      <c r="B447" s="44" t="str">
        <f ca="1">CELL("address", 'CapEx, M&amp;A'!M140)</f>
        <v>'[2025 ACEC-EFCG Key Financials Survey Form - BLANK (Unlocked).xlsx]CapEx, M&amp;A'!$M$140</v>
      </c>
      <c r="C447" s="8" t="str">
        <f ca="1">IF(INDIRECT(DB_Map[[#This Row],[Location]])&lt;&gt;"", INDIRECT(DB_Map[[#This Row],[Location]]), "")</f>
        <v/>
      </c>
    </row>
    <row r="448" spans="1:3" x14ac:dyDescent="0.25">
      <c r="A448">
        <v>903</v>
      </c>
      <c r="B448" s="44" t="str">
        <f ca="1">CELL("address", 'CapEx, M&amp;A'!F158)</f>
        <v>'[2025 ACEC-EFCG Key Financials Survey Form - BLANK (Unlocked).xlsx]CapEx, M&amp;A'!$F$158</v>
      </c>
      <c r="C448" s="8" t="str">
        <f ca="1">IF(INDIRECT(DB_Map[[#This Row],[Location]])&lt;&gt;"", INDIRECT(DB_Map[[#This Row],[Location]]), "")</f>
        <v/>
      </c>
    </row>
    <row r="449" spans="1:3" x14ac:dyDescent="0.25">
      <c r="A449">
        <v>904</v>
      </c>
      <c r="B449" s="44" t="str">
        <f ca="1">CELL("address", 'CapEx, M&amp;A'!H158)</f>
        <v>'[2025 ACEC-EFCG Key Financials Survey Form - BLANK (Unlocked).xlsx]CapEx, M&amp;A'!$H$158</v>
      </c>
      <c r="C449" s="8" t="str">
        <f ca="1">IF(INDIRECT(DB_Map[[#This Row],[Location]])&lt;&gt;"", INDIRECT(DB_Map[[#This Row],[Location]]), "")</f>
        <v/>
      </c>
    </row>
    <row r="450" spans="1:3" x14ac:dyDescent="0.25">
      <c r="A450">
        <v>905</v>
      </c>
      <c r="B450" s="44" t="str">
        <f ca="1">CELL("address", 'CapEx, M&amp;A'!J158)</f>
        <v>'[2025 ACEC-EFCG Key Financials Survey Form - BLANK (Unlocked).xlsx]CapEx, M&amp;A'!$J$158</v>
      </c>
      <c r="C450" s="8" t="str">
        <f ca="1">IF(INDIRECT(DB_Map[[#This Row],[Location]])&lt;&gt;"", INDIRECT(DB_Map[[#This Row],[Location]]), "")</f>
        <v/>
      </c>
    </row>
    <row r="451" spans="1:3" x14ac:dyDescent="0.25">
      <c r="A451">
        <v>906</v>
      </c>
      <c r="B451" s="44" t="str">
        <f ca="1">CELL("address", 'CapEx, M&amp;A'!L158)</f>
        <v>'[2025 ACEC-EFCG Key Financials Survey Form - BLANK (Unlocked).xlsx]CapEx, M&amp;A'!$L$158</v>
      </c>
      <c r="C451" s="8" t="str">
        <f ca="1">IF(INDIRECT(DB_Map[[#This Row],[Location]])&lt;&gt;"", INDIRECT(DB_Map[[#This Row],[Location]]), "")</f>
        <v/>
      </c>
    </row>
    <row r="452" spans="1:3" x14ac:dyDescent="0.25">
      <c r="A452">
        <v>907</v>
      </c>
      <c r="B452" s="44" t="str">
        <f ca="1">CELL("address", 'CapEx, M&amp;A'!F160)</f>
        <v>'[2025 ACEC-EFCG Key Financials Survey Form - BLANK (Unlocked).xlsx]CapEx, M&amp;A'!$F$160</v>
      </c>
      <c r="C452" s="8" t="str">
        <f ca="1">IF(INDIRECT(DB_Map[[#This Row],[Location]])&lt;&gt;"", INDIRECT(DB_Map[[#This Row],[Location]]), "")</f>
        <v/>
      </c>
    </row>
    <row r="453" spans="1:3" x14ac:dyDescent="0.25">
      <c r="A453">
        <v>908</v>
      </c>
      <c r="B453" s="44" t="str">
        <f ca="1">CELL("address", 'CapEx, M&amp;A'!H160)</f>
        <v>'[2025 ACEC-EFCG Key Financials Survey Form - BLANK (Unlocked).xlsx]CapEx, M&amp;A'!$H$160</v>
      </c>
      <c r="C453" s="8" t="str">
        <f ca="1">IF(INDIRECT(DB_Map[[#This Row],[Location]])&lt;&gt;"", INDIRECT(DB_Map[[#This Row],[Location]]), "")</f>
        <v/>
      </c>
    </row>
    <row r="454" spans="1:3" x14ac:dyDescent="0.25">
      <c r="A454">
        <v>909</v>
      </c>
      <c r="B454" s="44" t="str">
        <f ca="1">CELL("address", 'CapEx, M&amp;A'!J160)</f>
        <v>'[2025 ACEC-EFCG Key Financials Survey Form - BLANK (Unlocked).xlsx]CapEx, M&amp;A'!$J$160</v>
      </c>
      <c r="C454" s="8" t="str">
        <f ca="1">IF(INDIRECT(DB_Map[[#This Row],[Location]])&lt;&gt;"", INDIRECT(DB_Map[[#This Row],[Location]]), "")</f>
        <v/>
      </c>
    </row>
    <row r="455" spans="1:3" x14ac:dyDescent="0.25">
      <c r="A455">
        <v>910</v>
      </c>
      <c r="B455" s="44" t="str">
        <f ca="1">CELL("address", 'CapEx, M&amp;A'!L160)</f>
        <v>'[2025 ACEC-EFCG Key Financials Survey Form - BLANK (Unlocked).xlsx]CapEx, M&amp;A'!$L$160</v>
      </c>
      <c r="C455" s="8" t="str">
        <f ca="1">IF(INDIRECT(DB_Map[[#This Row],[Location]])&lt;&gt;"", INDIRECT(DB_Map[[#This Row],[Location]]), "")</f>
        <v/>
      </c>
    </row>
    <row r="456" spans="1:3" x14ac:dyDescent="0.25">
      <c r="A456">
        <v>911</v>
      </c>
      <c r="B456" s="44" t="str">
        <f ca="1">CELL("address", 'CapEx, M&amp;A'!F162)</f>
        <v>'[2025 ACEC-EFCG Key Financials Survey Form - BLANK (Unlocked).xlsx]CapEx, M&amp;A'!$F$162</v>
      </c>
      <c r="C456" s="8" t="str">
        <f ca="1">IF(INDIRECT(DB_Map[[#This Row],[Location]])&lt;&gt;"", INDIRECT(DB_Map[[#This Row],[Location]]), "")</f>
        <v/>
      </c>
    </row>
    <row r="457" spans="1:3" x14ac:dyDescent="0.25">
      <c r="A457">
        <v>912</v>
      </c>
      <c r="B457" s="44" t="str">
        <f ca="1">CELL("address", 'CapEx, M&amp;A'!H162)</f>
        <v>'[2025 ACEC-EFCG Key Financials Survey Form - BLANK (Unlocked).xlsx]CapEx, M&amp;A'!$H$162</v>
      </c>
      <c r="C457" s="8" t="str">
        <f ca="1">IF(INDIRECT(DB_Map[[#This Row],[Location]])&lt;&gt;"", INDIRECT(DB_Map[[#This Row],[Location]]), "")</f>
        <v/>
      </c>
    </row>
    <row r="458" spans="1:3" x14ac:dyDescent="0.25">
      <c r="A458">
        <v>913</v>
      </c>
      <c r="B458" s="44" t="str">
        <f ca="1">CELL("address", 'CapEx, M&amp;A'!J162)</f>
        <v>'[2025 ACEC-EFCG Key Financials Survey Form - BLANK (Unlocked).xlsx]CapEx, M&amp;A'!$J$162</v>
      </c>
      <c r="C458" s="8" t="str">
        <f ca="1">IF(INDIRECT(DB_Map[[#This Row],[Location]])&lt;&gt;"", INDIRECT(DB_Map[[#This Row],[Location]]), "")</f>
        <v/>
      </c>
    </row>
    <row r="459" spans="1:3" x14ac:dyDescent="0.25">
      <c r="A459">
        <v>914</v>
      </c>
      <c r="B459" s="44" t="str">
        <f ca="1">CELL("address", 'CapEx, M&amp;A'!L162)</f>
        <v>'[2025 ACEC-EFCG Key Financials Survey Form - BLANK (Unlocked).xlsx]CapEx, M&amp;A'!$L$162</v>
      </c>
      <c r="C459" s="8" t="str">
        <f ca="1">IF(INDIRECT(DB_Map[[#This Row],[Location]])&lt;&gt;"", INDIRECT(DB_Map[[#This Row],[Location]]), "")</f>
        <v/>
      </c>
    </row>
    <row r="460" spans="1:3" x14ac:dyDescent="0.25">
      <c r="A460">
        <v>699</v>
      </c>
      <c r="B460" s="44" t="str">
        <f ca="1">CELL("address", 'CapEx, M&amp;A'!G146)</f>
        <v>'[2025 ACEC-EFCG Key Financials Survey Form - BLANK (Unlocked).xlsx]CapEx, M&amp;A'!$G$146</v>
      </c>
      <c r="C460" s="8" t="str">
        <f ca="1">IF(INDIRECT(DB_Map[[#This Row],[Location]])="Yes", TRUE, IF(INDIRECT(DB_Map[[#This Row],[Location]])="No", FALSE, ""))</f>
        <v/>
      </c>
    </row>
    <row r="461" spans="1:3" x14ac:dyDescent="0.25">
      <c r="A461">
        <v>700</v>
      </c>
      <c r="B461" s="44" t="str">
        <f ca="1">CELL("address", 'CapEx, M&amp;A'!K146)</f>
        <v>'[2025 ACEC-EFCG Key Financials Survey Form - BLANK (Unlocked).xlsx]CapEx, M&amp;A'!$K$146</v>
      </c>
      <c r="C461" s="8" t="str">
        <f ca="1">IF(INDIRECT(DB_Map[[#This Row],[Location]])="Yes", TRUE, IF(INDIRECT(DB_Map[[#This Row],[Location]])="No", FALSE, ""))</f>
        <v/>
      </c>
    </row>
    <row r="462" spans="1:3" x14ac:dyDescent="0.25">
      <c r="A462">
        <v>701</v>
      </c>
      <c r="B462" s="44" t="str">
        <f ca="1">CELL("address", 'CapEx, M&amp;A'!G148)</f>
        <v>'[2025 ACEC-EFCG Key Financials Survey Form - BLANK (Unlocked).xlsx]CapEx, M&amp;A'!$G$148</v>
      </c>
      <c r="C462" s="8" t="str">
        <f ca="1">IF(INDIRECT(DB_Map[[#This Row],[Location]])="Yes", TRUE, IF(INDIRECT(DB_Map[[#This Row],[Location]])="No", FALSE, ""))</f>
        <v/>
      </c>
    </row>
    <row r="463" spans="1:3" x14ac:dyDescent="0.25">
      <c r="A463">
        <v>702</v>
      </c>
      <c r="B463" s="44" t="str">
        <f ca="1">CELL("address", 'CapEx, M&amp;A'!K148)</f>
        <v>'[2025 ACEC-EFCG Key Financials Survey Form - BLANK (Unlocked).xlsx]CapEx, M&amp;A'!$K$148</v>
      </c>
      <c r="C463" s="8" t="str">
        <f ca="1">IF(INDIRECT(DB_Map[[#This Row],[Location]])="Yes", TRUE, IF(INDIRECT(DB_Map[[#This Row],[Location]])="No", FALSE, ""))</f>
        <v/>
      </c>
    </row>
    <row r="464" spans="1:3" x14ac:dyDescent="0.25">
      <c r="A464" s="374">
        <v>502</v>
      </c>
      <c r="B464" s="44" t="str">
        <f ca="1">CELL("address", 'Ownership, Governance, Talent'!J8)</f>
        <v>'[2025 ACEC-EFCG Key Financials Survey Form - BLANK (Unlocked).xlsx]Ownership, Governance, Talent'!$J$8</v>
      </c>
      <c r="C464" s="8" t="str">
        <f ca="1">IF(COUNT('Ownership, Governance, Talent'!$J$8, 'Ownership, Governance, Talent'!$M$8, 'Ownership, Governance, Talent'!$J$10, 'Ownership, Governance, Talent'!$M$10)&gt;0,
          IF(INDIRECT(DB_Map[[#This Row],[Location]])&lt;&gt;"", INDIRECT(DB_Map[[#This Row],[Location]]), 0), "")</f>
        <v/>
      </c>
    </row>
    <row r="465" spans="1:3" x14ac:dyDescent="0.25">
      <c r="A465" s="374">
        <v>503</v>
      </c>
      <c r="B465" s="44" t="str">
        <f ca="1">CELL("address", 'Ownership, Governance, Talent'!M8)</f>
        <v>'[2025 ACEC-EFCG Key Financials Survey Form - BLANK (Unlocked).xlsx]Ownership, Governance, Talent'!$M$8</v>
      </c>
      <c r="C465" s="8" t="str">
        <f ca="1">IF(_ESOP?="Yes",
      IF(COUNT('Ownership, Governance, Talent'!$J$8, 'Ownership, Governance, Talent'!$M$8, 'Ownership, Governance, Talent'!$J$10, 'Ownership, Governance, Talent'!$M$10)&gt;0,
            IF(INDIRECT(DB_Map[[#This Row],[Location]])&lt;&gt;"", INDIRECT(DB_Map[[#This Row],[Location]]), 0), ""), "")</f>
        <v/>
      </c>
    </row>
    <row r="466" spans="1:3" x14ac:dyDescent="0.25">
      <c r="A466" s="374">
        <v>504</v>
      </c>
      <c r="B466" s="44" t="str">
        <f ca="1">CELL("address", 'Ownership, Governance, Talent'!J10)</f>
        <v>'[2025 ACEC-EFCG Key Financials Survey Form - BLANK (Unlocked).xlsx]Ownership, Governance, Talent'!$J$10</v>
      </c>
      <c r="C466" s="8" t="str">
        <f ca="1">IF(COUNT('Ownership, Governance, Talent'!$J$8, 'Ownership, Governance, Talent'!$M$8, 'Ownership, Governance, Talent'!$J$10, 'Ownership, Governance, Talent'!$M$10)&gt;0,
          IF(INDIRECT(DB_Map[[#This Row],[Location]])&lt;&gt;"", INDIRECT(DB_Map[[#This Row],[Location]]), 0), "")</f>
        <v/>
      </c>
    </row>
    <row r="467" spans="1:3" x14ac:dyDescent="0.25">
      <c r="A467" s="374">
        <v>505</v>
      </c>
      <c r="B467" s="44" t="str">
        <f ca="1">CELL("address", 'Ownership, Governance, Talent'!M10)</f>
        <v>'[2025 ACEC-EFCG Key Financials Survey Form - BLANK (Unlocked).xlsx]Ownership, Governance, Talent'!$M$10</v>
      </c>
      <c r="C467" s="8" t="str">
        <f>IF(COUNT('Ownership, Governance, Talent'!$J$8, 'Ownership, Governance, Talent'!$M$8, 'Ownership, Governance, Talent'!$J$10, 'Ownership, Governance, Talent'!$M$10)&gt;0,
            1-SUM('Ownership, Governance, Talent'!$J$8, IF(_ESOP?="Yes", 'Ownership, Governance, Talent'!$M$8, 0), 'Ownership, Governance, Talent'!$J$10), "")</f>
        <v/>
      </c>
    </row>
    <row r="468" spans="1:3" x14ac:dyDescent="0.25">
      <c r="A468" s="374">
        <v>506</v>
      </c>
      <c r="B468" s="44" t="str">
        <f ca="1">CELL("address", 'Ownership, Governance, Talent'!M12)</f>
        <v>'[2025 ACEC-EFCG Key Financials Survey Form - BLANK (Unlocked).xlsx]Ownership, Governance, Talent'!$M$12</v>
      </c>
      <c r="C468" s="8" t="str">
        <f ca="1">IF(INDIRECT(DB_Map[[#This Row],[Location]])&lt;&gt;"", INDIRECT(DB_Map[[#This Row],[Location]]), "")</f>
        <v/>
      </c>
    </row>
    <row r="469" spans="1:3" x14ac:dyDescent="0.25">
      <c r="A469" s="374">
        <v>507</v>
      </c>
      <c r="B469" s="44" t="str">
        <f ca="1">CELL("address", 'Ownership, Governance, Talent'!J14)</f>
        <v>'[2025 ACEC-EFCG Key Financials Survey Form - BLANK (Unlocked).xlsx]Ownership, Governance, Talent'!$J$14</v>
      </c>
      <c r="C469" s="8" t="str">
        <f ca="1">IF(INDIRECT(DB_Map[[#This Row],[Location]])&lt;&gt;"", INDIRECT(DB_Map[[#This Row],[Location]]), "")</f>
        <v/>
      </c>
    </row>
    <row r="470" spans="1:3" x14ac:dyDescent="0.25">
      <c r="A470" s="374">
        <v>508</v>
      </c>
      <c r="B470" s="44" t="str">
        <f ca="1">CELL("address", 'Ownership, Governance, Talent'!M14)</f>
        <v>'[2025 ACEC-EFCG Key Financials Survey Form - BLANK (Unlocked).xlsx]Ownership, Governance, Talent'!$M$14</v>
      </c>
      <c r="C470" s="8" t="str">
        <f ca="1">IF(INDIRECT(DB_Map[[#This Row],[Location]])&lt;&gt;"", INDIRECT(DB_Map[[#This Row],[Location]]), "")</f>
        <v/>
      </c>
    </row>
    <row r="471" spans="1:3" x14ac:dyDescent="0.25">
      <c r="A471" s="374">
        <v>509</v>
      </c>
      <c r="B471" s="44" t="str">
        <f ca="1">CELL("address", 'Ownership, Governance, Talent'!J18)</f>
        <v>'[2025 ACEC-EFCG Key Financials Survey Form - BLANK (Unlocked).xlsx]Ownership, Governance, Talent'!$J$18</v>
      </c>
      <c r="C471" s="8" t="str">
        <f ca="1">IF(COUNT('Ownership, Governance, Talent'!$J$18, 'Ownership, Governance, Talent'!$M$18)&gt;0, IF(INDIRECT(DB_Map[[#This Row],[Location]])&lt;&gt;"", INDIRECT(DB_Map[[#This Row],[Location]]), 0), "")</f>
        <v/>
      </c>
    </row>
    <row r="472" spans="1:3" x14ac:dyDescent="0.25">
      <c r="A472" s="374">
        <v>510</v>
      </c>
      <c r="B472" s="44" t="str">
        <f ca="1">CELL("address", 'Ownership, Governance, Talent'!J22)</f>
        <v>'[2025 ACEC-EFCG Key Financials Survey Form - BLANK (Unlocked).xlsx]Ownership, Governance, Talent'!$J$22</v>
      </c>
      <c r="C472" s="8" t="str">
        <f ca="1">IF(COUNT('Ownership, Governance, Talent'!$J$22, 'Ownership, Governance, Talent'!$M$22)&gt;0, IF(INDIRECT(DB_Map[[#This Row],[Location]])&lt;&gt;"", INDIRECT(DB_Map[[#This Row],[Location]]), 0), "")</f>
        <v/>
      </c>
    </row>
    <row r="473" spans="1:3" x14ac:dyDescent="0.25">
      <c r="A473" s="374">
        <v>511</v>
      </c>
      <c r="B473" s="44" t="str">
        <f ca="1">CELL("address", 'Ownership, Governance, Talent'!M18)</f>
        <v>'[2025 ACEC-EFCG Key Financials Survey Form - BLANK (Unlocked).xlsx]Ownership, Governance, Talent'!$M$18</v>
      </c>
      <c r="C473" s="8" t="str">
        <f ca="1">IF(COUNT('Ownership, Governance, Talent'!$J$18, 'Ownership, Governance, Talent'!$M$18)&gt;0, IF(INDIRECT(DB_Map[[#This Row],[Location]])&lt;&gt;"", INDIRECT(DB_Map[[#This Row],[Location]]), 0), "")</f>
        <v/>
      </c>
    </row>
    <row r="474" spans="1:3" x14ac:dyDescent="0.25">
      <c r="A474" s="374">
        <v>512</v>
      </c>
      <c r="B474" s="44" t="str">
        <f ca="1">CELL("address", 'Ownership, Governance, Talent'!M22)</f>
        <v>'[2025 ACEC-EFCG Key Financials Survey Form - BLANK (Unlocked).xlsx]Ownership, Governance, Talent'!$M$22</v>
      </c>
      <c r="C474" s="8" t="str">
        <f ca="1">IF(COUNT('Ownership, Governance, Talent'!$J$22, 'Ownership, Governance, Talent'!$M$22)&gt;0, IF(INDIRECT(DB_Map[[#This Row],[Location]])&lt;&gt;"", INDIRECT(DB_Map[[#This Row],[Location]]), 0), "")</f>
        <v/>
      </c>
    </row>
    <row r="475" spans="1:3" x14ac:dyDescent="0.25">
      <c r="A475" s="374">
        <v>513</v>
      </c>
      <c r="B475" s="44" t="s">
        <v>206</v>
      </c>
      <c r="C475" s="8" t="str">
        <f>IF(COUNT('Ownership, Governance, Talent'!$J$18, 'Ownership, Governance, Talent'!$M$18)&gt;0, SUM('Ownership, Governance, Talent'!$J$18, 'Ownership, Governance, Talent'!$M$18), "")</f>
        <v/>
      </c>
    </row>
    <row r="476" spans="1:3" x14ac:dyDescent="0.25">
      <c r="A476" s="374">
        <v>514</v>
      </c>
      <c r="B476" s="44" t="s">
        <v>206</v>
      </c>
      <c r="C476" s="8" t="str">
        <f>IF(COUNT('Ownership, Governance, Talent'!$J$22, 'Ownership, Governance, Talent'!$M$22)&gt;0, SUM('Ownership, Governance, Talent'!$J$22, 'Ownership, Governance, Talent'!$M$22), "")</f>
        <v/>
      </c>
    </row>
    <row r="477" spans="1:3" x14ac:dyDescent="0.25">
      <c r="A477" s="374">
        <v>515</v>
      </c>
      <c r="B477" s="44" t="str">
        <f ca="1">CELL("address", 'Ownership, Governance, Talent'!J26)</f>
        <v>'[2025 ACEC-EFCG Key Financials Survey Form - BLANK (Unlocked).xlsx]Ownership, Governance, Talent'!$J$26</v>
      </c>
      <c r="C477" s="8" t="str">
        <f ca="1">IF(INDIRECT(DB_Map[[#This Row],[Location]])&lt;&gt;"", INDIRECT(DB_Map[[#This Row],[Location]]), "")</f>
        <v/>
      </c>
    </row>
    <row r="478" spans="1:3" x14ac:dyDescent="0.25">
      <c r="A478" s="374">
        <v>516</v>
      </c>
      <c r="B478" s="44" t="str">
        <f ca="1">CELL("address", 'Ownership, Governance, Talent'!J28)</f>
        <v>'[2025 ACEC-EFCG Key Financials Survey Form - BLANK (Unlocked).xlsx]Ownership, Governance, Talent'!$J$28</v>
      </c>
      <c r="C478" s="8" t="str">
        <f ca="1">IF(INDIRECT(DB_Map[[#This Row],[Location]])&lt;&gt;"", INDIRECT(DB_Map[[#This Row],[Location]]), "")</f>
        <v/>
      </c>
    </row>
    <row r="479" spans="1:3" x14ac:dyDescent="0.25">
      <c r="A479" s="374">
        <v>517</v>
      </c>
      <c r="B479" s="44" t="str">
        <f ca="1">CELL("address", 'Ownership, Governance, Talent'!M26)</f>
        <v>'[2025 ACEC-EFCG Key Financials Survey Form - BLANK (Unlocked).xlsx]Ownership, Governance, Talent'!$M$26</v>
      </c>
      <c r="C479" s="8" t="str">
        <f ca="1">IF(INDIRECT(DB_Map[[#This Row],[Location]])&lt;&gt;"", INDIRECT(DB_Map[[#This Row],[Location]]), "")</f>
        <v/>
      </c>
    </row>
    <row r="480" spans="1:3" x14ac:dyDescent="0.25">
      <c r="A480" s="374">
        <v>518</v>
      </c>
      <c r="B480" s="44" t="str">
        <f ca="1">CELL("address", 'Ownership, Governance, Talent'!M28)</f>
        <v>'[2025 ACEC-EFCG Key Financials Survey Form - BLANK (Unlocked).xlsx]Ownership, Governance, Talent'!$M$28</v>
      </c>
      <c r="C480" s="8" t="str">
        <f ca="1">IF(INDIRECT(DB_Map[[#This Row],[Location]])&lt;&gt;"", INDIRECT(DB_Map[[#This Row],[Location]]), "")</f>
        <v/>
      </c>
    </row>
    <row r="481" spans="1:3" x14ac:dyDescent="0.25">
      <c r="A481" s="374">
        <v>498</v>
      </c>
      <c r="B481" s="44" t="str">
        <f ca="1">CELL("address", 'Ownership, Governance, Talent'!H34)</f>
        <v>'[2025 ACEC-EFCG Key Financials Survey Form - BLANK (Unlocked).xlsx]Ownership, Governance, Talent'!$H$34</v>
      </c>
      <c r="C481" s="8" t="str">
        <f ca="1">IF(INDIRECT(DB_Map[[#This Row],[Location]])&lt;&gt;"", INDIRECT(DB_Map[[#This Row],[Location]]), "")</f>
        <v/>
      </c>
    </row>
    <row r="482" spans="1:3" x14ac:dyDescent="0.25">
      <c r="A482" s="374">
        <v>499</v>
      </c>
      <c r="B482" s="44" t="str">
        <f ca="1">CELL("address", 'Ownership, Governance, Talent'!M34)</f>
        <v>'[2025 ACEC-EFCG Key Financials Survey Form - BLANK (Unlocked).xlsx]Ownership, Governance, Talent'!$M$34</v>
      </c>
      <c r="C482" s="8" t="str">
        <f ca="1">IF(INDIRECT(DB_Map[[#This Row],[Location]])&lt;&gt;"", INDIRECT(DB_Map[[#This Row],[Location]]), "")</f>
        <v/>
      </c>
    </row>
    <row r="483" spans="1:3" x14ac:dyDescent="0.25">
      <c r="A483" s="374">
        <v>501</v>
      </c>
      <c r="B483" s="44" t="str">
        <f ca="1">CELL("address", 'Ownership, Governance, Talent'!H36)</f>
        <v>'[2025 ACEC-EFCG Key Financials Survey Form - BLANK (Unlocked).xlsx]Ownership, Governance, Talent'!$H$36</v>
      </c>
      <c r="C483" s="8" t="str">
        <f ca="1">IF(INDIRECT(DB_Map[[#This Row],[Location]])&lt;&gt;"", INDIRECT(DB_Map[[#This Row],[Location]]), "")</f>
        <v/>
      </c>
    </row>
    <row r="484" spans="1:3" x14ac:dyDescent="0.25">
      <c r="A484" s="374">
        <v>334</v>
      </c>
      <c r="B484" s="44" t="str">
        <f ca="1">CELL("address", 'Ownership, Governance, Talent'!J$70)</f>
        <v>'[2025 ACEC-EFCG Key Financials Survey Form - BLANK (Unlocked).xlsx]Ownership, Governance, Talent'!$J$70</v>
      </c>
      <c r="C484" s="8" t="str">
        <f ca="1">IF(INDIRECT(DB_Map[[#This Row],[Location]])&lt;&gt;"", INDIRECT(DB_Map[[#This Row],[Location]]), "")</f>
        <v/>
      </c>
    </row>
    <row r="485" spans="1:3" x14ac:dyDescent="0.25">
      <c r="A485" s="374">
        <v>335</v>
      </c>
      <c r="B485" s="44" t="str">
        <f ca="1">CELL("address", 'Ownership, Governance, Talent'!M$70)</f>
        <v>'[2025 ACEC-EFCG Key Financials Survey Form - BLANK (Unlocked).xlsx]Ownership, Governance, Talent'!$M$70</v>
      </c>
      <c r="C485" s="8" t="str">
        <f ca="1">IF(INDIRECT(DB_Map[[#This Row],[Location]])&lt;&gt;"", INDIRECT(DB_Map[[#This Row],[Location]]), "")</f>
        <v/>
      </c>
    </row>
    <row r="486" spans="1:3" x14ac:dyDescent="0.25">
      <c r="A486" s="374">
        <v>801</v>
      </c>
      <c r="B486" s="44" t="str">
        <f ca="1">CELL("address", 'Ownership, Governance, Talent'!J72)</f>
        <v>'[2025 ACEC-EFCG Key Financials Survey Form - BLANK (Unlocked).xlsx]Ownership, Governance, Talent'!$J$72</v>
      </c>
      <c r="C486" s="8" t="str">
        <f ca="1">IF(INDIRECT(DB_Map[[#This Row],[Location]])&lt;&gt;"", INDIRECT(DB_Map[[#This Row],[Location]]), "")</f>
        <v/>
      </c>
    </row>
    <row r="487" spans="1:3" x14ac:dyDescent="0.25">
      <c r="A487" s="374">
        <v>336</v>
      </c>
      <c r="B487" s="44" t="str">
        <f ca="1">CELL("address", 'Ownership, Governance, Talent'!J$76)</f>
        <v>'[2025 ACEC-EFCG Key Financials Survey Form - BLANK (Unlocked).xlsx]Ownership, Governance, Talent'!$J$76</v>
      </c>
      <c r="C487" s="8" t="str">
        <f ca="1">IF(INDIRECT(DB_Map[[#This Row],[Location]])&lt;&gt;"", INDIRECT(DB_Map[[#This Row],[Location]]), "")</f>
        <v/>
      </c>
    </row>
    <row r="488" spans="1:3" x14ac:dyDescent="0.25">
      <c r="A488" s="374">
        <v>337</v>
      </c>
      <c r="B488" s="44" t="str">
        <f ca="1">CELL("address", 'Ownership, Governance, Talent'!J$77)</f>
        <v>'[2025 ACEC-EFCG Key Financials Survey Form - BLANK (Unlocked).xlsx]Ownership, Governance, Talent'!$J$77</v>
      </c>
      <c r="C488" s="8" t="str">
        <f ca="1">IF(INDIRECT(DB_Map[[#This Row],[Location]])&lt;&gt;"", INDIRECT(DB_Map[[#This Row],[Location]]), "")</f>
        <v/>
      </c>
    </row>
    <row r="489" spans="1:3" x14ac:dyDescent="0.25">
      <c r="A489" s="374">
        <v>338</v>
      </c>
      <c r="B489" s="44" t="str">
        <f ca="1">CELL("address", 'Ownership, Governance, Talent'!M$76)</f>
        <v>'[2025 ACEC-EFCG Key Financials Survey Form - BLANK (Unlocked).xlsx]Ownership, Governance, Talent'!$M$76</v>
      </c>
      <c r="C489" s="8" t="str">
        <f ca="1">IF(INDIRECT(DB_Map[[#This Row],[Location]])&lt;&gt;"", INDIRECT(DB_Map[[#This Row],[Location]]), "")</f>
        <v/>
      </c>
    </row>
    <row r="490" spans="1:3" x14ac:dyDescent="0.25">
      <c r="A490" s="374">
        <v>339</v>
      </c>
      <c r="B490" s="44" t="str">
        <f ca="1">CELL("address", 'Ownership, Governance, Talent'!M$77)</f>
        <v>'[2025 ACEC-EFCG Key Financials Survey Form - BLANK (Unlocked).xlsx]Ownership, Governance, Talent'!$M$77</v>
      </c>
      <c r="C490" s="8" t="str">
        <f ca="1">IF(INDIRECT(DB_Map[[#This Row],[Location]])&lt;&gt;"", INDIRECT(DB_Map[[#This Row],[Location]]), "")</f>
        <v/>
      </c>
    </row>
    <row r="491" spans="1:3" x14ac:dyDescent="0.25">
      <c r="A491" s="374">
        <v>556</v>
      </c>
      <c r="B491" s="44" t="str">
        <f ca="1">CELL("address", 'CEO Supplement'!M$159)</f>
        <v>'[2025 ACEC-EFCG Key Financials Survey Form - BLANK (Unlocked).xlsx]CEO Supplement'!$M$159</v>
      </c>
      <c r="C491" s="8" t="str">
        <f ca="1">IF(INDIRECT(DB_Map[[#This Row],[Location]])="Yes", TRUE, IF(INDIRECT(DB_Map[[#This Row],[Location]])="No", FALSE, ""))</f>
        <v/>
      </c>
    </row>
    <row r="492" spans="1:3" x14ac:dyDescent="0.25">
      <c r="A492" s="374">
        <v>802</v>
      </c>
      <c r="B492" s="44" t="str">
        <f ca="1">CELL("address", 'CEO Supplement'!L161:M161)</f>
        <v>'[2025 ACEC-EFCG Key Financials Survey Form - BLANK (Unlocked).xlsx]CEO Supplement'!$L$161</v>
      </c>
      <c r="C492" s="8" t="str">
        <f ca="1">IF(INDIRECT(DB_Map[[#This Row],[Location]])&lt;&gt;"", INDIRECT(DB_Map[[#This Row],[Location]]), "")</f>
        <v/>
      </c>
    </row>
    <row r="493" spans="1:3" x14ac:dyDescent="0.25">
      <c r="A493" s="374">
        <v>557</v>
      </c>
      <c r="B493" s="44" t="str">
        <f ca="1">CELL("address", 'CEO Supplement'!M$163)</f>
        <v>'[2025 ACEC-EFCG Key Financials Survey Form - BLANK (Unlocked).xlsx]CEO Supplement'!$M$163</v>
      </c>
      <c r="C493" s="8" t="str">
        <f ca="1">IF(INDIRECT(DB_Map[[#This Row],[Location]])&lt;&gt;"", INDIRECT(DB_Map[[#This Row],[Location]]), "")</f>
        <v/>
      </c>
    </row>
    <row r="494" spans="1:3" x14ac:dyDescent="0.25">
      <c r="A494" s="374">
        <v>726</v>
      </c>
      <c r="B494" s="44" t="str">
        <f ca="1">CELL("address", 'Ownership, Governance, Talent'!M79)</f>
        <v>'[2025 ACEC-EFCG Key Financials Survey Form - BLANK (Unlocked).xlsx]Ownership, Governance, Talent'!$M$79</v>
      </c>
      <c r="C494" s="8" t="str">
        <f ca="1">IF(INDIRECT(DB_Map[[#This Row],[Location]])&lt;&gt;"", INDIRECT(DB_Map[[#This Row],[Location]]), "")</f>
        <v/>
      </c>
    </row>
    <row r="495" spans="1:3" x14ac:dyDescent="0.25">
      <c r="A495" s="374">
        <v>594</v>
      </c>
      <c r="B495" s="44" t="str">
        <f ca="1">CELL("address", 'Ownership, Governance, Talent'!J$90)</f>
        <v>'[2025 ACEC-EFCG Key Financials Survey Form - BLANK (Unlocked).xlsx]Ownership, Governance, Talent'!$J$90</v>
      </c>
      <c r="C495"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6" spans="1:3" x14ac:dyDescent="0.25">
      <c r="A496" s="374">
        <v>595</v>
      </c>
      <c r="B496" s="44" t="str">
        <f ca="1">CELL("address", 'Ownership, Governance, Talent'!M$90)</f>
        <v>'[2025 ACEC-EFCG Key Financials Survey Form - BLANK (Unlocked).xlsx]Ownership, Governance, Talent'!$M$90</v>
      </c>
      <c r="C496"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7" spans="1:3" x14ac:dyDescent="0.25">
      <c r="A497" s="374">
        <v>596</v>
      </c>
      <c r="B497" s="44" t="str">
        <f ca="1">CELL("address", 'Ownership, Governance, Talent'!J$91)</f>
        <v>'[2025 ACEC-EFCG Key Financials Survey Form - BLANK (Unlocked).xlsx]Ownership, Governance, Talent'!$J$91</v>
      </c>
      <c r="C497"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8" spans="1:3" x14ac:dyDescent="0.25">
      <c r="A498" s="374">
        <v>597</v>
      </c>
      <c r="B498" s="44" t="str">
        <f ca="1">CELL("address", 'Ownership, Governance, Talent'!M$91)</f>
        <v>'[2025 ACEC-EFCG Key Financials Survey Form - BLANK (Unlocked).xlsx]Ownership, Governance, Talent'!$M$91</v>
      </c>
      <c r="C498"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9" spans="1:3" x14ac:dyDescent="0.25">
      <c r="A499" s="374">
        <v>340</v>
      </c>
      <c r="B499" s="44" t="str">
        <f ca="1">CELL("address", 'Ownership, Governance, Talent'!J$98)</f>
        <v>'[2025 ACEC-EFCG Key Financials Survey Form - BLANK (Unlocked).xlsx]Ownership, Governance, Talent'!$J$98</v>
      </c>
      <c r="C499" s="8" t="str">
        <f ca="1">IF(INDIRECT(DB_Map[[#This Row],[Location]])&lt;&gt;"", INDIRECT(DB_Map[[#This Row],[Location]]), "")</f>
        <v/>
      </c>
    </row>
    <row r="500" spans="1:3" x14ac:dyDescent="0.25">
      <c r="A500" s="374">
        <v>341</v>
      </c>
      <c r="B500" s="44" t="str">
        <f ca="1">CELL("address", 'Ownership, Governance, Talent'!M$98)</f>
        <v>'[2025 ACEC-EFCG Key Financials Survey Form - BLANK (Unlocked).xlsx]Ownership, Governance, Talent'!$M$98</v>
      </c>
      <c r="C500" s="8" t="str">
        <f ca="1">IF(INDIRECT(DB_Map[[#This Row],[Location]])&lt;&gt;"", INDIRECT(DB_Map[[#This Row],[Location]]), "")</f>
        <v/>
      </c>
    </row>
    <row r="501" spans="1:3" x14ac:dyDescent="0.25">
      <c r="A501" s="374">
        <v>342</v>
      </c>
      <c r="B501" s="44" t="str">
        <f ca="1">CELL("address", 'Ownership, Governance, Talent'!J$97)</f>
        <v>'[2025 ACEC-EFCG Key Financials Survey Form - BLANK (Unlocked).xlsx]Ownership, Governance, Talent'!$J$97</v>
      </c>
      <c r="C501" s="8" t="str">
        <f ca="1">IF(INDIRECT(DB_Map[[#This Row],[Location]])&lt;&gt;"", INDIRECT(DB_Map[[#This Row],[Location]]), "")</f>
        <v/>
      </c>
    </row>
    <row r="502" spans="1:3" x14ac:dyDescent="0.25">
      <c r="A502" s="374">
        <v>343</v>
      </c>
      <c r="B502" s="44" t="str">
        <f ca="1">CELL("address", 'Ownership, Governance, Talent'!M$97)</f>
        <v>'[2025 ACEC-EFCG Key Financials Survey Form - BLANK (Unlocked).xlsx]Ownership, Governance, Talent'!$M$97</v>
      </c>
      <c r="C502" s="8" t="str">
        <f ca="1">IF(INDIRECT(DB_Map[[#This Row],[Location]])&lt;&gt;"", INDIRECT(DB_Map[[#This Row],[Location]]), "")</f>
        <v/>
      </c>
    </row>
    <row r="503" spans="1:3" x14ac:dyDescent="0.25">
      <c r="A503" s="374">
        <v>344</v>
      </c>
      <c r="B503" s="44" t="str">
        <f ca="1">CELL("address", 'Ownership, Governance, Talent'!J$101)</f>
        <v>'[2025 ACEC-EFCG Key Financials Survey Form - BLANK (Unlocked).xlsx]Ownership, Governance, Talent'!$J$101</v>
      </c>
      <c r="C503" s="8" t="str">
        <f ca="1">IF(INDIRECT(DB_Map[[#This Row],[Location]])&lt;&gt;"", INDIRECT(DB_Map[[#This Row],[Location]]), "")</f>
        <v/>
      </c>
    </row>
    <row r="504" spans="1:3" x14ac:dyDescent="0.25">
      <c r="A504" s="374">
        <v>345</v>
      </c>
      <c r="B504" s="44" t="str">
        <f ca="1">CELL("address", 'Ownership, Governance, Talent'!M$101)</f>
        <v>'[2025 ACEC-EFCG Key Financials Survey Form - BLANK (Unlocked).xlsx]Ownership, Governance, Talent'!$M$101</v>
      </c>
      <c r="C504" s="8" t="str">
        <f ca="1">IF(INDIRECT(DB_Map[[#This Row],[Location]])&lt;&gt;"", INDIRECT(DB_Map[[#This Row],[Location]]), "")</f>
        <v/>
      </c>
    </row>
    <row r="505" spans="1:3" x14ac:dyDescent="0.25">
      <c r="A505" s="374">
        <v>346</v>
      </c>
      <c r="B505" s="44" t="str">
        <f ca="1">CELL("address", 'Ownership, Governance, Talent'!J$100)</f>
        <v>'[2025 ACEC-EFCG Key Financials Survey Form - BLANK (Unlocked).xlsx]Ownership, Governance, Talent'!$J$100</v>
      </c>
      <c r="C505" s="8" t="str">
        <f ca="1">IF(INDIRECT(DB_Map[[#This Row],[Location]])&lt;&gt;"", INDIRECT(DB_Map[[#This Row],[Location]]), "")</f>
        <v/>
      </c>
    </row>
    <row r="506" spans="1:3" x14ac:dyDescent="0.25">
      <c r="A506" s="374">
        <v>347</v>
      </c>
      <c r="B506" s="44" t="str">
        <f ca="1">CELL("address", 'Ownership, Governance, Talent'!M$100)</f>
        <v>'[2025 ACEC-EFCG Key Financials Survey Form - BLANK (Unlocked).xlsx]Ownership, Governance, Talent'!$M$100</v>
      </c>
      <c r="C506" s="8" t="str">
        <f ca="1">IF(INDIRECT(DB_Map[[#This Row],[Location]])&lt;&gt;"", INDIRECT(DB_Map[[#This Row],[Location]]), "")</f>
        <v/>
      </c>
    </row>
    <row r="507" spans="1:3" x14ac:dyDescent="0.25">
      <c r="A507" s="374">
        <v>666</v>
      </c>
      <c r="B507" s="44" t="str">
        <f ca="1">CELL("address", 'Ownership, Governance, Talent'!J$103)</f>
        <v>'[2025 ACEC-EFCG Key Financials Survey Form - BLANK (Unlocked).xlsx]Ownership, Governance, Talent'!$J$103</v>
      </c>
      <c r="C507" s="8" t="str">
        <f ca="1">IF(INDIRECT(DB_Map[[#This Row],[Location]])&lt;&gt;"", INDIRECT(DB_Map[[#This Row],[Location]]), "")</f>
        <v/>
      </c>
    </row>
    <row r="508" spans="1:3" x14ac:dyDescent="0.25">
      <c r="A508" s="374">
        <v>667</v>
      </c>
      <c r="B508" s="44" t="str">
        <f ca="1">CELL("address", 'Ownership, Governance, Talent'!M$103)</f>
        <v>'[2025 ACEC-EFCG Key Financials Survey Form - BLANK (Unlocked).xlsx]Ownership, Governance, Talent'!$M$103</v>
      </c>
      <c r="C508" s="8" t="str">
        <f ca="1">IF(INDIRECT(DB_Map[[#This Row],[Location]])&lt;&gt;"", INDIRECT(DB_Map[[#This Row],[Location]]), "")</f>
        <v/>
      </c>
    </row>
    <row r="509" spans="1:3" x14ac:dyDescent="0.25">
      <c r="A509" s="374">
        <v>348</v>
      </c>
      <c r="B509" s="44" t="str">
        <f ca="1">CELL("address", 'Ownership, Governance, Talent'!H$105)</f>
        <v>'[2025 ACEC-EFCG Key Financials Survey Form - BLANK (Unlocked).xlsx]Ownership, Governance, Talent'!$H$105</v>
      </c>
      <c r="C509" s="8" t="str">
        <f ca="1">IF(ISNUMBER(INDEX(DB_Map[Survey Form Value], MATCH(349, DB_Map[ID], 0))), TRUE,
       IF(INDIRECT(DB_Map[[#This Row],[Location]])="Yes", TRUE, IF(INDIRECT(DB_Map[[#This Row],[Location]])="No", FALSE, "")))</f>
        <v/>
      </c>
    </row>
    <row r="510" spans="1:3" x14ac:dyDescent="0.25">
      <c r="A510" s="374">
        <v>349</v>
      </c>
      <c r="B510" s="44" t="str">
        <f ca="1">CELL("address", 'Ownership, Governance, Talent'!M$105)</f>
        <v>'[2025 ACEC-EFCG Key Financials Survey Form - BLANK (Unlocked).xlsx]Ownership, Governance, Talent'!$M$105</v>
      </c>
      <c r="C510" s="8" t="str">
        <f ca="1">IF(INDIRECT(DB_Map[[#This Row],[Location]])&lt;&gt;"", INDIRECT(DB_Map[[#This Row],[Location]]), "")</f>
        <v/>
      </c>
    </row>
    <row r="511" spans="1:3" x14ac:dyDescent="0.25">
      <c r="A511" s="374">
        <v>803</v>
      </c>
      <c r="B511" s="44" t="str">
        <f ca="1">CELL("address", 'Ownership, Governance, Talent'!K107:M107)</f>
        <v>'[2025 ACEC-EFCG Key Financials Survey Form - BLANK (Unlocked).xlsx]Ownership, Governance, Talent'!$K$107</v>
      </c>
      <c r="C511" s="8" t="str">
        <f ca="1">IF(INDIRECT(DB_Map[[#This Row],[Location]])&lt;&gt;"", INDIRECT(DB_Map[[#This Row],[Location]]), "")</f>
        <v/>
      </c>
    </row>
    <row r="512" spans="1:3" x14ac:dyDescent="0.25">
      <c r="A512" s="374">
        <v>350</v>
      </c>
      <c r="B512" s="44" t="str">
        <f ca="1">CELL("address", 'Ownership, Governance, Talent'!J$140)</f>
        <v>'[2025 ACEC-EFCG Key Financials Survey Form - BLANK (Unlocked).xlsx]Ownership, Governance, Talent'!$J$140</v>
      </c>
      <c r="C512" s="8" t="str">
        <f ca="1">IF(INDIRECT(DB_Map[[#This Row],[Location]])&lt;&gt;"", INDIRECT(DB_Map[[#This Row],[Location]]), "")</f>
        <v/>
      </c>
    </row>
    <row r="513" spans="1:3" x14ac:dyDescent="0.25">
      <c r="A513" s="374">
        <v>351</v>
      </c>
      <c r="B513" s="44" t="str">
        <f ca="1">CELL("address", 'Ownership, Governance, Talent'!M$140)</f>
        <v>'[2025 ACEC-EFCG Key Financials Survey Form - BLANK (Unlocked).xlsx]Ownership, Governance, Talent'!$M$140</v>
      </c>
      <c r="C513" s="8" t="str">
        <f ca="1">IF(INDIRECT(DB_Map[[#This Row],[Location]])&lt;&gt;"", INDIRECT(DB_Map[[#This Row],[Location]]), "")</f>
        <v/>
      </c>
    </row>
    <row r="514" spans="1:3" x14ac:dyDescent="0.25">
      <c r="A514" s="374">
        <v>352</v>
      </c>
      <c r="B514" s="44" t="str">
        <f ca="1">CELL("address", 'Ownership, Governance, Talent'!J$142)</f>
        <v>'[2025 ACEC-EFCG Key Financials Survey Form - BLANK (Unlocked).xlsx]Ownership, Governance, Talent'!$J$142</v>
      </c>
      <c r="C514" s="8" t="str">
        <f ca="1">IF(INDIRECT(DB_Map[[#This Row],[Location]])&lt;&gt;"", INDIRECT(DB_Map[[#This Row],[Location]]), "")</f>
        <v/>
      </c>
    </row>
    <row r="515" spans="1:3" x14ac:dyDescent="0.25">
      <c r="A515" s="374">
        <v>353</v>
      </c>
      <c r="B515" s="44" t="str">
        <f ca="1">CELL("address", 'Ownership, Governance, Talent'!M$142)</f>
        <v>'[2025 ACEC-EFCG Key Financials Survey Form - BLANK (Unlocked).xlsx]Ownership, Governance, Talent'!$M$142</v>
      </c>
      <c r="C515" s="8" t="str">
        <f ca="1">IF(INDIRECT(DB_Map[[#This Row],[Location]])&lt;&gt;"", INDIRECT(DB_Map[[#This Row],[Location]]), "")</f>
        <v/>
      </c>
    </row>
    <row r="516" spans="1:3" x14ac:dyDescent="0.25">
      <c r="A516" s="374">
        <v>354</v>
      </c>
      <c r="B516" s="44" t="str">
        <f ca="1">CELL("address", 'Ownership, Governance, Talent'!J$144)</f>
        <v>'[2025 ACEC-EFCG Key Financials Survey Form - BLANK (Unlocked).xlsx]Ownership, Governance, Talent'!$J$144</v>
      </c>
      <c r="C516" s="8" t="str">
        <f ca="1">IF(INDIRECT(DB_Map[[#This Row],[Location]])&lt;&gt;"", INDIRECT(DB_Map[[#This Row],[Location]]), "")</f>
        <v/>
      </c>
    </row>
    <row r="517" spans="1:3" x14ac:dyDescent="0.25">
      <c r="A517" s="374">
        <v>355</v>
      </c>
      <c r="B517" s="44" t="str">
        <f ca="1">CELL("address", 'Ownership, Governance, Talent'!M$144)</f>
        <v>'[2025 ACEC-EFCG Key Financials Survey Form - BLANK (Unlocked).xlsx]Ownership, Governance, Talent'!$M$144</v>
      </c>
      <c r="C517" s="8" t="str">
        <f ca="1">IF(INDIRECT(DB_Map[[#This Row],[Location]])&lt;&gt;"", INDIRECT(DB_Map[[#This Row],[Location]]), "")</f>
        <v/>
      </c>
    </row>
    <row r="518" spans="1:3" x14ac:dyDescent="0.25">
      <c r="A518" s="374">
        <v>356</v>
      </c>
      <c r="B518" s="44" t="str">
        <f ca="1">CELL("address", 'Ownership, Governance, Talent'!M$147)</f>
        <v>'[2025 ACEC-EFCG Key Financials Survey Form - BLANK (Unlocked).xlsx]Ownership, Governance, Talent'!$M$147</v>
      </c>
      <c r="C518" s="8" t="str">
        <f ca="1">IF(INDIRECT(DB_Map[[#This Row],[Location]])&lt;&gt;"", INDIRECT(DB_Map[[#This Row],[Location]]), "")</f>
        <v/>
      </c>
    </row>
    <row r="519" spans="1:3" x14ac:dyDescent="0.25">
      <c r="A519" s="374">
        <v>357</v>
      </c>
      <c r="B519" s="44" t="str">
        <f ca="1">CELL("address", 'Ownership, Governance, Talent'!H$157)</f>
        <v>'[2025 ACEC-EFCG Key Financials Survey Form - BLANK (Unlocked).xlsx]Ownership, Governance, Talent'!$H$157</v>
      </c>
      <c r="C519" s="8" t="str">
        <f ca="1">IF(INDIRECT(DB_Map[[#This Row],[Location]])&lt;&gt;"", INDIRECT(DB_Map[[#This Row],[Location]]), "")</f>
        <v/>
      </c>
    </row>
    <row r="520" spans="1:3" x14ac:dyDescent="0.25">
      <c r="A520" s="374">
        <v>358</v>
      </c>
      <c r="B520" s="44" t="str">
        <f ca="1">CELL("address", 'Ownership, Governance, Talent'!I$157)</f>
        <v>'[2025 ACEC-EFCG Key Financials Survey Form - BLANK (Unlocked).xlsx]Ownership, Governance, Talent'!$I$157</v>
      </c>
      <c r="C520" s="8" t="str">
        <f ca="1">IF(INDIRECT(DB_Map[[#This Row],[Location]])&lt;&gt;"", INDIRECT(DB_Map[[#This Row],[Location]]), "")</f>
        <v/>
      </c>
    </row>
    <row r="521" spans="1:3" x14ac:dyDescent="0.25">
      <c r="A521" s="374">
        <v>359</v>
      </c>
      <c r="B521" s="44" t="str">
        <f ca="1">CELL("address", 'Ownership, Governance, Talent'!J$157)</f>
        <v>'[2025 ACEC-EFCG Key Financials Survey Form - BLANK (Unlocked).xlsx]Ownership, Governance, Talent'!$J$157</v>
      </c>
      <c r="C521" s="8" t="str">
        <f ca="1">IF(INDIRECT(DB_Map[[#This Row],[Location]])&lt;&gt;"", INDIRECT(DB_Map[[#This Row],[Location]]), "")</f>
        <v/>
      </c>
    </row>
    <row r="522" spans="1:3" x14ac:dyDescent="0.25">
      <c r="A522" s="374">
        <v>360</v>
      </c>
      <c r="B522" s="44" t="str">
        <f ca="1">CELL("address", 'Ownership, Governance, Talent'!K$157)</f>
        <v>'[2025 ACEC-EFCG Key Financials Survey Form - BLANK (Unlocked).xlsx]Ownership, Governance, Talent'!$K$157</v>
      </c>
      <c r="C522" s="8" t="str">
        <f ca="1">IF(INDIRECT(DB_Map[[#This Row],[Location]])&lt;&gt;"", INDIRECT(DB_Map[[#This Row],[Location]]), "")</f>
        <v/>
      </c>
    </row>
    <row r="523" spans="1:3" x14ac:dyDescent="0.25">
      <c r="A523" s="374">
        <v>361</v>
      </c>
      <c r="B523" s="44" t="str">
        <f ca="1">CELL("address", 'Ownership, Governance, Talent'!L$157)</f>
        <v>'[2025 ACEC-EFCG Key Financials Survey Form - BLANK (Unlocked).xlsx]Ownership, Governance, Talent'!$L$157</v>
      </c>
      <c r="C523" s="8" t="str">
        <f ca="1">IF(INDIRECT(DB_Map[[#This Row],[Location]])&lt;&gt;"", INDIRECT(DB_Map[[#This Row],[Location]]), "")</f>
        <v/>
      </c>
    </row>
    <row r="524" spans="1:3" x14ac:dyDescent="0.25">
      <c r="A524" s="374">
        <v>362</v>
      </c>
      <c r="B524" s="44" t="str">
        <f ca="1">CELL("address", 'Ownership, Governance, Talent'!H$159)</f>
        <v>'[2025 ACEC-EFCG Key Financials Survey Form - BLANK (Unlocked).xlsx]Ownership, Governance, Talent'!$H$159</v>
      </c>
      <c r="C524" s="8" t="str">
        <f ca="1">IF(INDIRECT(DB_Map[[#This Row],[Location]])&lt;&gt;"", INDIRECT(DB_Map[[#This Row],[Location]]), "")</f>
        <v/>
      </c>
    </row>
    <row r="525" spans="1:3" x14ac:dyDescent="0.25">
      <c r="A525" s="374">
        <v>363</v>
      </c>
      <c r="B525" s="44" t="str">
        <f ca="1">CELL("address", 'Ownership, Governance, Talent'!I$159)</f>
        <v>'[2025 ACEC-EFCG Key Financials Survey Form - BLANK (Unlocked).xlsx]Ownership, Governance, Talent'!$I$159</v>
      </c>
      <c r="C525" s="8" t="str">
        <f ca="1">IF(INDIRECT(DB_Map[[#This Row],[Location]])&lt;&gt;"", INDIRECT(DB_Map[[#This Row],[Location]]), "")</f>
        <v/>
      </c>
    </row>
    <row r="526" spans="1:3" x14ac:dyDescent="0.25">
      <c r="A526" s="374">
        <v>364</v>
      </c>
      <c r="B526" s="44" t="str">
        <f ca="1">CELL("address", 'Ownership, Governance, Talent'!J$159)</f>
        <v>'[2025 ACEC-EFCG Key Financials Survey Form - BLANK (Unlocked).xlsx]Ownership, Governance, Talent'!$J$159</v>
      </c>
      <c r="C526" s="8" t="str">
        <f ca="1">IF(INDIRECT(DB_Map[[#This Row],[Location]])&lt;&gt;"", INDIRECT(DB_Map[[#This Row],[Location]]), "")</f>
        <v/>
      </c>
    </row>
    <row r="527" spans="1:3" x14ac:dyDescent="0.25">
      <c r="A527" s="374">
        <v>365</v>
      </c>
      <c r="B527" s="44" t="str">
        <f ca="1">CELL("address", 'Ownership, Governance, Talent'!K$159)</f>
        <v>'[2025 ACEC-EFCG Key Financials Survey Form - BLANK (Unlocked).xlsx]Ownership, Governance, Talent'!$K$159</v>
      </c>
      <c r="C527" s="8" t="str">
        <f ca="1">IF(INDIRECT(DB_Map[[#This Row],[Location]])&lt;&gt;"", INDIRECT(DB_Map[[#This Row],[Location]]), "")</f>
        <v/>
      </c>
    </row>
    <row r="528" spans="1:3" x14ac:dyDescent="0.25">
      <c r="A528" s="374">
        <v>366</v>
      </c>
      <c r="B528" s="44" t="str">
        <f ca="1">CELL("address", 'Ownership, Governance, Talent'!L$159)</f>
        <v>'[2025 ACEC-EFCG Key Financials Survey Form - BLANK (Unlocked).xlsx]Ownership, Governance, Talent'!$L$159</v>
      </c>
      <c r="C528" s="8" t="str">
        <f ca="1">IF(INDIRECT(DB_Map[[#This Row],[Location]])&lt;&gt;"", INDIRECT(DB_Map[[#This Row],[Location]]), "")</f>
        <v/>
      </c>
    </row>
    <row r="529" spans="1:3" x14ac:dyDescent="0.25">
      <c r="A529" s="374">
        <v>367</v>
      </c>
      <c r="B529" s="44" t="str">
        <f ca="1">CELL("address", 'Ownership, Governance, Talent'!H$161)</f>
        <v>'[2025 ACEC-EFCG Key Financials Survey Form - BLANK (Unlocked).xlsx]Ownership, Governance, Talent'!$H$161</v>
      </c>
      <c r="C529" s="8" t="str">
        <f ca="1">IF(INDIRECT(DB_Map[[#This Row],[Location]])&lt;&gt;"", INDIRECT(DB_Map[[#This Row],[Location]]), "")</f>
        <v/>
      </c>
    </row>
    <row r="530" spans="1:3" x14ac:dyDescent="0.25">
      <c r="A530" s="374">
        <v>368</v>
      </c>
      <c r="B530" s="44" t="str">
        <f ca="1">CELL("address", 'Ownership, Governance, Talent'!I$161)</f>
        <v>'[2025 ACEC-EFCG Key Financials Survey Form - BLANK (Unlocked).xlsx]Ownership, Governance, Talent'!$I$161</v>
      </c>
      <c r="C530" s="8" t="str">
        <f ca="1">IF(INDIRECT(DB_Map[[#This Row],[Location]])&lt;&gt;"", INDIRECT(DB_Map[[#This Row],[Location]]), "")</f>
        <v/>
      </c>
    </row>
    <row r="531" spans="1:3" x14ac:dyDescent="0.25">
      <c r="A531" s="374">
        <v>369</v>
      </c>
      <c r="B531" s="44" t="str">
        <f ca="1">CELL("address", 'Ownership, Governance, Talent'!J$161)</f>
        <v>'[2025 ACEC-EFCG Key Financials Survey Form - BLANK (Unlocked).xlsx]Ownership, Governance, Talent'!$J$161</v>
      </c>
      <c r="C531" s="8" t="str">
        <f ca="1">IF(INDIRECT(DB_Map[[#This Row],[Location]])&lt;&gt;"", INDIRECT(DB_Map[[#This Row],[Location]]), "")</f>
        <v/>
      </c>
    </row>
    <row r="532" spans="1:3" x14ac:dyDescent="0.25">
      <c r="A532" s="374">
        <v>370</v>
      </c>
      <c r="B532" s="44" t="str">
        <f ca="1">CELL("address", 'Ownership, Governance, Talent'!K$161)</f>
        <v>'[2025 ACEC-EFCG Key Financials Survey Form - BLANK (Unlocked).xlsx]Ownership, Governance, Talent'!$K$161</v>
      </c>
      <c r="C532" s="8" t="str">
        <f ca="1">IF(INDIRECT(DB_Map[[#This Row],[Location]])&lt;&gt;"", INDIRECT(DB_Map[[#This Row],[Location]]), "")</f>
        <v/>
      </c>
    </row>
    <row r="533" spans="1:3" x14ac:dyDescent="0.25">
      <c r="A533" s="374">
        <v>371</v>
      </c>
      <c r="B533" s="44" t="str">
        <f ca="1">CELL("address", 'Ownership, Governance, Talent'!L$161)</f>
        <v>'[2025 ACEC-EFCG Key Financials Survey Form - BLANK (Unlocked).xlsx]Ownership, Governance, Talent'!$L$161</v>
      </c>
      <c r="C533" s="8" t="str">
        <f ca="1">IF(INDIRECT(DB_Map[[#This Row],[Location]])&lt;&gt;"", INDIRECT(DB_Map[[#This Row],[Location]]), "")</f>
        <v/>
      </c>
    </row>
    <row r="534" spans="1:3" x14ac:dyDescent="0.25">
      <c r="A534" s="374">
        <v>372</v>
      </c>
      <c r="B534" s="44" t="str">
        <f ca="1">CELL("address", 'Ownership, Governance, Talent'!H$163)</f>
        <v>'[2025 ACEC-EFCG Key Financials Survey Form - BLANK (Unlocked).xlsx]Ownership, Governance, Talent'!$H$163</v>
      </c>
      <c r="C534" s="8" t="str">
        <f ca="1">IF(INDIRECT(DB_Map[[#This Row],[Location]])&lt;&gt;"", INDIRECT(DB_Map[[#This Row],[Location]]), "")</f>
        <v/>
      </c>
    </row>
    <row r="535" spans="1:3" x14ac:dyDescent="0.25">
      <c r="A535" s="374">
        <v>373</v>
      </c>
      <c r="B535" s="44" t="str">
        <f ca="1">CELL("address", 'Ownership, Governance, Talent'!I$163)</f>
        <v>'[2025 ACEC-EFCG Key Financials Survey Form - BLANK (Unlocked).xlsx]Ownership, Governance, Talent'!$I$163</v>
      </c>
      <c r="C535" s="8" t="str">
        <f ca="1">IF(INDIRECT(DB_Map[[#This Row],[Location]])&lt;&gt;"", INDIRECT(DB_Map[[#This Row],[Location]]), "")</f>
        <v/>
      </c>
    </row>
    <row r="536" spans="1:3" x14ac:dyDescent="0.25">
      <c r="A536" s="374">
        <v>374</v>
      </c>
      <c r="B536" s="44" t="str">
        <f ca="1">CELL("address", 'Ownership, Governance, Talent'!J$163)</f>
        <v>'[2025 ACEC-EFCG Key Financials Survey Form - BLANK (Unlocked).xlsx]Ownership, Governance, Talent'!$J$163</v>
      </c>
      <c r="C536" s="8" t="str">
        <f ca="1">IF(INDIRECT(DB_Map[[#This Row],[Location]])&lt;&gt;"", INDIRECT(DB_Map[[#This Row],[Location]]), "")</f>
        <v/>
      </c>
    </row>
    <row r="537" spans="1:3" x14ac:dyDescent="0.25">
      <c r="A537" s="374">
        <v>375</v>
      </c>
      <c r="B537" s="44" t="str">
        <f ca="1">CELL("address", 'Ownership, Governance, Talent'!K$163)</f>
        <v>'[2025 ACEC-EFCG Key Financials Survey Form - BLANK (Unlocked).xlsx]Ownership, Governance, Talent'!$K$163</v>
      </c>
      <c r="C537" s="8" t="str">
        <f ca="1">IF(INDIRECT(DB_Map[[#This Row],[Location]])&lt;&gt;"", INDIRECT(DB_Map[[#This Row],[Location]]), "")</f>
        <v/>
      </c>
    </row>
    <row r="538" spans="1:3" x14ac:dyDescent="0.25">
      <c r="A538" s="374">
        <v>376</v>
      </c>
      <c r="B538" s="44" t="str">
        <f ca="1">CELL("address", 'Ownership, Governance, Talent'!L$163)</f>
        <v>'[2025 ACEC-EFCG Key Financials Survey Form - BLANK (Unlocked).xlsx]Ownership, Governance, Talent'!$L$163</v>
      </c>
      <c r="C538" s="8" t="str">
        <f ca="1">IF(INDIRECT(DB_Map[[#This Row],[Location]])&lt;&gt;"", INDIRECT(DB_Map[[#This Row],[Location]]), "")</f>
        <v/>
      </c>
    </row>
    <row r="539" spans="1:3" x14ac:dyDescent="0.25">
      <c r="A539" s="374">
        <v>377</v>
      </c>
      <c r="B539" s="44" t="str">
        <f ca="1">CELL("address", 'Ownership, Governance, Talent'!H$165)</f>
        <v>'[2025 ACEC-EFCG Key Financials Survey Form - BLANK (Unlocked).xlsx]Ownership, Governance, Talent'!$H$165</v>
      </c>
      <c r="C539" s="8" t="str">
        <f ca="1">IF(INDIRECT(DB_Map[[#This Row],[Location]])&lt;&gt;"", INDIRECT(DB_Map[[#This Row],[Location]]), "")</f>
        <v/>
      </c>
    </row>
    <row r="540" spans="1:3" x14ac:dyDescent="0.25">
      <c r="A540" s="374">
        <v>378</v>
      </c>
      <c r="B540" s="44" t="str">
        <f ca="1">CELL("address", 'Ownership, Governance, Talent'!I$165)</f>
        <v>'[2025 ACEC-EFCG Key Financials Survey Form - BLANK (Unlocked).xlsx]Ownership, Governance, Talent'!$I$165</v>
      </c>
      <c r="C540" s="8" t="str">
        <f ca="1">IF(INDIRECT(DB_Map[[#This Row],[Location]])&lt;&gt;"", INDIRECT(DB_Map[[#This Row],[Location]]), "")</f>
        <v/>
      </c>
    </row>
    <row r="541" spans="1:3" x14ac:dyDescent="0.25">
      <c r="A541" s="374">
        <v>379</v>
      </c>
      <c r="B541" s="44" t="str">
        <f ca="1">CELL("address", 'Ownership, Governance, Talent'!J$165)</f>
        <v>'[2025 ACEC-EFCG Key Financials Survey Form - BLANK (Unlocked).xlsx]Ownership, Governance, Talent'!$J$165</v>
      </c>
      <c r="C541" s="8" t="str">
        <f ca="1">IF(INDIRECT(DB_Map[[#This Row],[Location]])&lt;&gt;"", INDIRECT(DB_Map[[#This Row],[Location]]), "")</f>
        <v/>
      </c>
    </row>
    <row r="542" spans="1:3" x14ac:dyDescent="0.25">
      <c r="A542" s="374">
        <v>380</v>
      </c>
      <c r="B542" s="44" t="str">
        <f ca="1">CELL("address", 'Ownership, Governance, Talent'!K$165)</f>
        <v>'[2025 ACEC-EFCG Key Financials Survey Form - BLANK (Unlocked).xlsx]Ownership, Governance, Talent'!$K$165</v>
      </c>
      <c r="C542" s="8" t="str">
        <f ca="1">IF(INDIRECT(DB_Map[[#This Row],[Location]])&lt;&gt;"", INDIRECT(DB_Map[[#This Row],[Location]]), "")</f>
        <v/>
      </c>
    </row>
    <row r="543" spans="1:3" x14ac:dyDescent="0.25">
      <c r="A543" s="374">
        <v>381</v>
      </c>
      <c r="B543" s="44" t="str">
        <f ca="1">CELL("address", 'Ownership, Governance, Talent'!L$165)</f>
        <v>'[2025 ACEC-EFCG Key Financials Survey Form - BLANK (Unlocked).xlsx]Ownership, Governance, Talent'!$L$165</v>
      </c>
      <c r="C543" s="8" t="str">
        <f ca="1">IF(INDIRECT(DB_Map[[#This Row],[Location]])&lt;&gt;"", INDIRECT(DB_Map[[#This Row],[Location]]), "")</f>
        <v/>
      </c>
    </row>
    <row r="544" spans="1:3" x14ac:dyDescent="0.25">
      <c r="A544" s="374">
        <v>382</v>
      </c>
      <c r="B544" s="44" t="str">
        <f ca="1">CELL("address", 'Ownership, Governance, Talent'!H$167)</f>
        <v>'[2025 ACEC-EFCG Key Financials Survey Form - BLANK (Unlocked).xlsx]Ownership, Governance, Talent'!$H$167</v>
      </c>
      <c r="C544" s="8" t="str">
        <f ca="1">IF(INDIRECT(DB_Map[[#This Row],[Location]])&lt;&gt;"", INDIRECT(DB_Map[[#This Row],[Location]]), "")</f>
        <v/>
      </c>
    </row>
    <row r="545" spans="1:3" x14ac:dyDescent="0.25">
      <c r="A545" s="374">
        <v>383</v>
      </c>
      <c r="B545" s="44" t="str">
        <f ca="1">CELL("address", 'Ownership, Governance, Talent'!I$167)</f>
        <v>'[2025 ACEC-EFCG Key Financials Survey Form - BLANK (Unlocked).xlsx]Ownership, Governance, Talent'!$I$167</v>
      </c>
      <c r="C545" s="8" t="str">
        <f ca="1">IF(INDIRECT(DB_Map[[#This Row],[Location]])&lt;&gt;"", INDIRECT(DB_Map[[#This Row],[Location]]), "")</f>
        <v/>
      </c>
    </row>
    <row r="546" spans="1:3" x14ac:dyDescent="0.25">
      <c r="A546" s="374">
        <v>384</v>
      </c>
      <c r="B546" s="44" t="str">
        <f ca="1">CELL("address", 'Ownership, Governance, Talent'!J$167)</f>
        <v>'[2025 ACEC-EFCG Key Financials Survey Form - BLANK (Unlocked).xlsx]Ownership, Governance, Talent'!$J$167</v>
      </c>
      <c r="C546" s="8" t="str">
        <f ca="1">IF(INDIRECT(DB_Map[[#This Row],[Location]])&lt;&gt;"", INDIRECT(DB_Map[[#This Row],[Location]]), "")</f>
        <v/>
      </c>
    </row>
    <row r="547" spans="1:3" x14ac:dyDescent="0.25">
      <c r="A547" s="374">
        <v>385</v>
      </c>
      <c r="B547" s="44" t="str">
        <f ca="1">CELL("address", 'Ownership, Governance, Talent'!K$167)</f>
        <v>'[2025 ACEC-EFCG Key Financials Survey Form - BLANK (Unlocked).xlsx]Ownership, Governance, Talent'!$K$167</v>
      </c>
      <c r="C547" s="8" t="str">
        <f ca="1">IF(INDIRECT(DB_Map[[#This Row],[Location]])&lt;&gt;"", INDIRECT(DB_Map[[#This Row],[Location]]), "")</f>
        <v/>
      </c>
    </row>
    <row r="548" spans="1:3" x14ac:dyDescent="0.25">
      <c r="A548" s="374">
        <v>386</v>
      </c>
      <c r="B548" s="44" t="str">
        <f ca="1">CELL("address", 'Ownership, Governance, Talent'!L$167)</f>
        <v>'[2025 ACEC-EFCG Key Financials Survey Form - BLANK (Unlocked).xlsx]Ownership, Governance, Talent'!$L$167</v>
      </c>
      <c r="C548" s="8" t="str">
        <f ca="1">IF(INDIRECT(DB_Map[[#This Row],[Location]])&lt;&gt;"", INDIRECT(DB_Map[[#This Row],[Location]]), "")</f>
        <v/>
      </c>
    </row>
    <row r="549" spans="1:3" x14ac:dyDescent="0.25">
      <c r="A549" s="374">
        <v>727</v>
      </c>
      <c r="B549" s="44" t="str">
        <f ca="1">CELL("address", 'CEO Supplement'!E13:F13)</f>
        <v>'[2025 ACEC-EFCG Key Financials Survey Form - BLANK (Unlocked).xlsx]CEO Supplement'!$E$13</v>
      </c>
      <c r="C549" s="8" t="str">
        <f ca="1">IF(INDIRECT(DB_Map[[#This Row],[Location]])&lt;&gt;"", INDIRECT(DB_Map[[#This Row],[Location]]), "")</f>
        <v/>
      </c>
    </row>
    <row r="550" spans="1:3" x14ac:dyDescent="0.25">
      <c r="A550" s="374">
        <v>728</v>
      </c>
      <c r="B550" s="44" t="str">
        <f ca="1">CELL("address", 'CEO Supplement'!E15:F15)</f>
        <v>'[2025 ACEC-EFCG Key Financials Survey Form - BLANK (Unlocked).xlsx]CEO Supplement'!$E$15</v>
      </c>
      <c r="C550" s="8" t="str">
        <f ca="1">IF(INDIRECT(DB_Map[[#This Row],[Location]])&lt;&gt;"", INDIRECT(DB_Map[[#This Row],[Location]]), "")</f>
        <v/>
      </c>
    </row>
    <row r="551" spans="1:3" x14ac:dyDescent="0.25">
      <c r="A551" s="374">
        <v>729</v>
      </c>
      <c r="B551" s="44" t="str">
        <f ca="1">CELL("address", 'CEO Supplement'!E17:F17)</f>
        <v>'[2025 ACEC-EFCG Key Financials Survey Form - BLANK (Unlocked).xlsx]CEO Supplement'!$E$17</v>
      </c>
      <c r="C551" s="8" t="str">
        <f ca="1">IF(INDIRECT(DB_Map[[#This Row],[Location]])&lt;&gt;"", INDIRECT(DB_Map[[#This Row],[Location]]), "")</f>
        <v/>
      </c>
    </row>
    <row r="552" spans="1:3" x14ac:dyDescent="0.25">
      <c r="A552" s="374">
        <v>730</v>
      </c>
      <c r="B552" s="44" t="str">
        <f ca="1">CELL("address", 'CEO Supplement'!E19:F19)</f>
        <v>'[2025 ACEC-EFCG Key Financials Survey Form - BLANK (Unlocked).xlsx]CEO Supplement'!$E$19</v>
      </c>
      <c r="C552" s="8" t="str">
        <f ca="1">IF(INDIRECT(DB_Map[[#This Row],[Location]])&lt;&gt;"", INDIRECT(DB_Map[[#This Row],[Location]]), "")</f>
        <v/>
      </c>
    </row>
    <row r="553" spans="1:3" x14ac:dyDescent="0.25">
      <c r="A553" s="374">
        <v>731</v>
      </c>
      <c r="B553" s="44" t="str">
        <f ca="1">CELL("address", 'CEO Supplement'!H13:I13)</f>
        <v>'[2025 ACEC-EFCG Key Financials Survey Form - BLANK (Unlocked).xlsx]CEO Supplement'!$H$13</v>
      </c>
      <c r="C553" s="8" t="str">
        <f ca="1">IF(INDIRECT(DB_Map[[#This Row],[Location]])&lt;&gt;"", INDIRECT(DB_Map[[#This Row],[Location]]), "")</f>
        <v/>
      </c>
    </row>
    <row r="554" spans="1:3" x14ac:dyDescent="0.25">
      <c r="A554" s="374">
        <v>732</v>
      </c>
      <c r="B554" s="44" t="str">
        <f ca="1">CELL("address", 'CEO Supplement'!H15:I15)</f>
        <v>'[2025 ACEC-EFCG Key Financials Survey Form - BLANK (Unlocked).xlsx]CEO Supplement'!$H$15</v>
      </c>
      <c r="C554" s="8" t="str">
        <f ca="1">IF(INDIRECT(DB_Map[[#This Row],[Location]])&lt;&gt;"", INDIRECT(DB_Map[[#This Row],[Location]]), "")</f>
        <v/>
      </c>
    </row>
    <row r="555" spans="1:3" x14ac:dyDescent="0.25">
      <c r="A555" s="374">
        <v>733</v>
      </c>
      <c r="B555" s="44" t="str">
        <f ca="1">CELL("address", 'CEO Supplement'!H17:I17)</f>
        <v>'[2025 ACEC-EFCG Key Financials Survey Form - BLANK (Unlocked).xlsx]CEO Supplement'!$H$17</v>
      </c>
      <c r="C555" s="8" t="str">
        <f ca="1">IF(INDIRECT(DB_Map[[#This Row],[Location]])&lt;&gt;"", INDIRECT(DB_Map[[#This Row],[Location]]), "")</f>
        <v/>
      </c>
    </row>
    <row r="556" spans="1:3" x14ac:dyDescent="0.25">
      <c r="A556" s="374">
        <v>734</v>
      </c>
      <c r="B556" s="44" t="str">
        <f ca="1">CELL("address", 'CEO Supplement'!H19:I19)</f>
        <v>'[2025 ACEC-EFCG Key Financials Survey Form - BLANK (Unlocked).xlsx]CEO Supplement'!$H$19</v>
      </c>
      <c r="C556" s="8" t="str">
        <f ca="1">IF(INDIRECT(DB_Map[[#This Row],[Location]])&lt;&gt;"", INDIRECT(DB_Map[[#This Row],[Location]]), "")</f>
        <v/>
      </c>
    </row>
    <row r="557" spans="1:3" x14ac:dyDescent="0.25">
      <c r="A557" s="374">
        <v>804</v>
      </c>
      <c r="B557" s="44" t="str">
        <f ca="1">CELL("address", 'CEO Supplement'!K13:M13)</f>
        <v>'[2025 ACEC-EFCG Key Financials Survey Form - BLANK (Unlocked).xlsx]CEO Supplement'!$K$13</v>
      </c>
      <c r="C557" s="8" t="str">
        <f ca="1">IF(INDIRECT(DB_Map[[#This Row],[Location]])&lt;&gt;"", INDIRECT(DB_Map[[#This Row],[Location]]), "")</f>
        <v/>
      </c>
    </row>
    <row r="558" spans="1:3" x14ac:dyDescent="0.25">
      <c r="A558" s="374">
        <v>805</v>
      </c>
      <c r="B558" s="44" t="str">
        <f ca="1">CELL("address", 'CEO Supplement'!K15:M15)</f>
        <v>'[2025 ACEC-EFCG Key Financials Survey Form - BLANK (Unlocked).xlsx]CEO Supplement'!$K$15</v>
      </c>
      <c r="C558" s="8" t="str">
        <f ca="1">IF(INDIRECT(DB_Map[[#This Row],[Location]])&lt;&gt;"", INDIRECT(DB_Map[[#This Row],[Location]]), "")</f>
        <v/>
      </c>
    </row>
    <row r="559" spans="1:3" x14ac:dyDescent="0.25">
      <c r="A559" s="374">
        <v>806</v>
      </c>
      <c r="B559" s="44" t="str">
        <f ca="1">CELL("address", 'CEO Supplement'!K17:M17)</f>
        <v>'[2025 ACEC-EFCG Key Financials Survey Form - BLANK (Unlocked).xlsx]CEO Supplement'!$K$17</v>
      </c>
      <c r="C559" s="8" t="str">
        <f ca="1">IF(INDIRECT(DB_Map[[#This Row],[Location]])&lt;&gt;"", INDIRECT(DB_Map[[#This Row],[Location]]), "")</f>
        <v/>
      </c>
    </row>
    <row r="560" spans="1:3" x14ac:dyDescent="0.25">
      <c r="A560" s="374">
        <v>807</v>
      </c>
      <c r="B560" s="44" t="str">
        <f ca="1">CELL("address", 'CEO Supplement'!K19:M19)</f>
        <v>'[2025 ACEC-EFCG Key Financials Survey Form - BLANK (Unlocked).xlsx]CEO Supplement'!$K$19</v>
      </c>
      <c r="C560" s="8" t="str">
        <f ca="1">IF(INDIRECT(DB_Map[[#This Row],[Location]])&lt;&gt;"", INDIRECT(DB_Map[[#This Row],[Location]]), "")</f>
        <v/>
      </c>
    </row>
    <row r="561" spans="1:3" x14ac:dyDescent="0.25">
      <c r="A561" s="374">
        <v>744</v>
      </c>
      <c r="B561" s="44" t="str">
        <f ca="1">CELL("address", 'CEO Supplement'!H48)</f>
        <v>'[2025 ACEC-EFCG Key Financials Survey Form - BLANK (Unlocked).xlsx]CEO Supplement'!$H$48</v>
      </c>
      <c r="C561" s="8" t="str">
        <f ca="1">IF(INDIRECT(DB_Map[[#This Row],[Location]])&lt;&gt;"", INDIRECT(DB_Map[[#This Row],[Location]]), "")</f>
        <v/>
      </c>
    </row>
    <row r="562" spans="1:3" x14ac:dyDescent="0.25">
      <c r="A562" s="374">
        <v>746</v>
      </c>
      <c r="B562" s="44" t="str">
        <f ca="1">CELL("address", 'CEO Supplement'!J25)</f>
        <v>'[2025 ACEC-EFCG Key Financials Survey Form - BLANK (Unlocked).xlsx]CEO Supplement'!$J$25</v>
      </c>
      <c r="C562" s="8" t="str">
        <f ca="1">IF(INDIRECT(DB_Map[[#This Row],[Location]])&lt;&gt;"", INDIRECT(DB_Map[[#This Row],[Location]]), "")</f>
        <v/>
      </c>
    </row>
    <row r="563" spans="1:3" x14ac:dyDescent="0.25">
      <c r="A563" s="374">
        <v>855</v>
      </c>
      <c r="B563" s="44" t="str">
        <f ca="1">CELL("address", 'CEO Supplement'!E27)</f>
        <v>'[2025 ACEC-EFCG Key Financials Survey Form - BLANK (Unlocked).xlsx]CEO Supplement'!$E$27</v>
      </c>
      <c r="C563" s="8" t="str">
        <f ca="1">IF(INDIRECT(DB_Map[[#This Row],[Location]])&lt;&gt;"", INDIRECT(DB_Map[[#This Row],[Location]]), "")</f>
        <v/>
      </c>
    </row>
    <row r="564" spans="1:3" x14ac:dyDescent="0.25">
      <c r="A564" s="374">
        <v>747</v>
      </c>
      <c r="B564" s="44" t="str">
        <f ca="1">CELL("address", 'CEO Supplement'!G27)</f>
        <v>'[2025 ACEC-EFCG Key Financials Survey Form - BLANK (Unlocked).xlsx]CEO Supplement'!$G$27</v>
      </c>
      <c r="C564" s="8" t="str">
        <f ca="1">IF(INDIRECT(DB_Map[[#This Row],[Location]])&lt;&gt;"", INDIRECT(DB_Map[[#This Row],[Location]]), "")</f>
        <v/>
      </c>
    </row>
    <row r="565" spans="1:3" x14ac:dyDescent="0.25">
      <c r="A565" s="374">
        <v>856</v>
      </c>
      <c r="B565" s="44" t="str">
        <f ca="1">CELL("address", 'CEO Supplement'!I27:I27)</f>
        <v>'[2025 ACEC-EFCG Key Financials Survey Form - BLANK (Unlocked).xlsx]CEO Supplement'!$I$27</v>
      </c>
      <c r="C565" s="8" t="str">
        <f ca="1">IF(INDIRECT(DB_Map[[#This Row],[Location]])&lt;&gt;"", INDIRECT(DB_Map[[#This Row],[Location]]), "")</f>
        <v/>
      </c>
    </row>
    <row r="566" spans="1:3" x14ac:dyDescent="0.25">
      <c r="A566" s="374">
        <v>749</v>
      </c>
      <c r="B566" s="44" t="str">
        <f ca="1">CELL("address", 'CEO Supplement'!K27)</f>
        <v>'[2025 ACEC-EFCG Key Financials Survey Form - BLANK (Unlocked).xlsx]CEO Supplement'!$K$27</v>
      </c>
      <c r="C566" s="8" t="str">
        <f ca="1">IF(INDIRECT(DB_Map[[#This Row],[Location]])="Yes", TRUE, IF(INDIRECT(DB_Map[[#This Row],[Location]])="No", FALSE, ""))</f>
        <v/>
      </c>
    </row>
    <row r="567" spans="1:3" x14ac:dyDescent="0.25">
      <c r="A567" s="374">
        <v>783</v>
      </c>
      <c r="B567" s="44" t="str">
        <f ca="1">CELL("address", 'CEO Supplement'!M27)</f>
        <v>'[2025 ACEC-EFCG Key Financials Survey Form - BLANK (Unlocked).xlsx]CEO Supplement'!$M$27</v>
      </c>
      <c r="C567" s="8" t="str">
        <f ca="1">IF(INDIRECT(DB_Map[[#This Row],[Location]])&lt;&gt;"", INDIRECT(DB_Map[[#This Row],[Location]]), "")</f>
        <v/>
      </c>
    </row>
    <row r="568" spans="1:3" x14ac:dyDescent="0.25">
      <c r="A568" s="374">
        <v>756</v>
      </c>
      <c r="B568" s="44" t="str">
        <f ca="1">CELL("address", 'CEO Supplement'!L37:M37)</f>
        <v>'[2025 ACEC-EFCG Key Financials Survey Form - BLANK (Unlocked).xlsx]CEO Supplement'!$L$37</v>
      </c>
      <c r="C568" s="8" t="str">
        <f ca="1">IF(INDIRECT(DB_Map[[#This Row],[Location]])&lt;&gt;"", INDIRECT(DB_Map[[#This Row],[Location]]), "")</f>
        <v/>
      </c>
    </row>
    <row r="569" spans="1:3" x14ac:dyDescent="0.25">
      <c r="A569" s="374">
        <v>810</v>
      </c>
      <c r="B569" s="44" t="str">
        <f ca="1">CELL("address", 'CEO Supplement'!H52)</f>
        <v>'[2025 ACEC-EFCG Key Financials Survey Form - BLANK (Unlocked).xlsx]CEO Supplement'!$H$52</v>
      </c>
      <c r="C569" s="8" t="str">
        <f ca="1">IF(INDIRECT(DB_Map[[#This Row],[Location]])&lt;&gt;"", INDIRECT(DB_Map[[#This Row],[Location]]), "")</f>
        <v/>
      </c>
    </row>
    <row r="570" spans="1:3" x14ac:dyDescent="0.25">
      <c r="A570" s="374">
        <v>811</v>
      </c>
      <c r="B570" s="44" t="str">
        <f ca="1">CELL("address", 'CEO Supplement'!K52)</f>
        <v>'[2025 ACEC-EFCG Key Financials Survey Form - BLANK (Unlocked).xlsx]CEO Supplement'!$K$52</v>
      </c>
      <c r="C570" s="8" t="str">
        <f ca="1">IF(INDIRECT(DB_Map[[#This Row],[Location]])&lt;&gt;"", INDIRECT(DB_Map[[#This Row],[Location]]), "")</f>
        <v/>
      </c>
    </row>
    <row r="571" spans="1:3" x14ac:dyDescent="0.25">
      <c r="A571" s="374">
        <v>812</v>
      </c>
      <c r="B571" s="44" t="str">
        <f ca="1">CELL("address", 'CEO Supplement'!M52)</f>
        <v>'[2025 ACEC-EFCG Key Financials Survey Form - BLANK (Unlocked).xlsx]CEO Supplement'!$M$52</v>
      </c>
      <c r="C571" s="8" t="str">
        <f ca="1">IF(INDIRECT(DB_Map[[#This Row],[Location]])&lt;&gt;"", INDIRECT(DB_Map[[#This Row],[Location]]), "")</f>
        <v/>
      </c>
    </row>
    <row r="572" spans="1:3" x14ac:dyDescent="0.25">
      <c r="A572" s="374">
        <v>813</v>
      </c>
      <c r="B572" s="44" t="str">
        <f ca="1">CELL("address", 'CEO Supplement'!H54)</f>
        <v>'[2025 ACEC-EFCG Key Financials Survey Form - BLANK (Unlocked).xlsx]CEO Supplement'!$H$54</v>
      </c>
      <c r="C572" s="8" t="str">
        <f ca="1">IF(INDIRECT(DB_Map[[#This Row],[Location]])&lt;&gt;"", INDIRECT(DB_Map[[#This Row],[Location]]), "")</f>
        <v/>
      </c>
    </row>
    <row r="573" spans="1:3" x14ac:dyDescent="0.25">
      <c r="A573" s="374">
        <v>814</v>
      </c>
      <c r="B573" s="44" t="str">
        <f ca="1">CELL("address", 'CEO Supplement'!M54)</f>
        <v>'[2025 ACEC-EFCG Key Financials Survey Form - BLANK (Unlocked).xlsx]CEO Supplement'!$M$54</v>
      </c>
      <c r="C573" s="8" t="str">
        <f ca="1">IF(INDIRECT(DB_Map[[#This Row],[Location]])&lt;&gt;"", INDIRECT(DB_Map[[#This Row],[Location]]), "")</f>
        <v/>
      </c>
    </row>
    <row r="574" spans="1:3" x14ac:dyDescent="0.25">
      <c r="A574" s="374">
        <v>815</v>
      </c>
      <c r="B574" s="44" t="str">
        <f ca="1">CELL("address", 'CEO Supplement'!H56)</f>
        <v>'[2025 ACEC-EFCG Key Financials Survey Form - BLANK (Unlocked).xlsx]CEO Supplement'!$H$56</v>
      </c>
      <c r="C574" s="8" t="str">
        <f ca="1">IF(INDIRECT(DB_Map[[#This Row],[Location]])&lt;&gt;"", INDIRECT(DB_Map[[#This Row],[Location]]), "")</f>
        <v/>
      </c>
    </row>
    <row r="575" spans="1:3" x14ac:dyDescent="0.25">
      <c r="A575" s="374">
        <v>816</v>
      </c>
      <c r="B575" s="44" t="str">
        <f ca="1">CELL("address", 'CEO Supplement'!M56)</f>
        <v>'[2025 ACEC-EFCG Key Financials Survey Form - BLANK (Unlocked).xlsx]CEO Supplement'!$M$56</v>
      </c>
      <c r="C575" s="8" t="str">
        <f ca="1">IF(INDIRECT(DB_Map[[#This Row],[Location]])&lt;&gt;"", INDIRECT(DB_Map[[#This Row],[Location]]), "")</f>
        <v/>
      </c>
    </row>
    <row r="576" spans="1:3" x14ac:dyDescent="0.25">
      <c r="A576" s="374">
        <v>758</v>
      </c>
      <c r="B576" s="44" t="str">
        <f ca="1">CELL("address", 'CEO Supplement'!L58)</f>
        <v>'[2025 ACEC-EFCG Key Financials Survey Form - BLANK (Unlocked).xlsx]CEO Supplement'!$L$58</v>
      </c>
      <c r="C576" s="8" t="str">
        <f ca="1">IF(INDIRECT(DB_Map[[#This Row],[Location]])&lt;&gt;"", INDIRECT(DB_Map[[#This Row],[Location]]), "")</f>
        <v/>
      </c>
    </row>
    <row r="577" spans="1:3" x14ac:dyDescent="0.25">
      <c r="A577" s="374">
        <v>759</v>
      </c>
      <c r="B577" s="44" t="str">
        <f ca="1">CELL("address", 'CEO Supplement'!M58)</f>
        <v>'[2025 ACEC-EFCG Key Financials Survey Form - BLANK (Unlocked).xlsx]CEO Supplement'!$M$58</v>
      </c>
      <c r="C577" s="8" t="str">
        <f ca="1">IF(INDIRECT(DB_Map[[#This Row],[Location]])&lt;&gt;"", INDIRECT(DB_Map[[#This Row],[Location]]), "")</f>
        <v/>
      </c>
    </row>
    <row r="578" spans="1:3" x14ac:dyDescent="0.25">
      <c r="A578" s="374">
        <v>857</v>
      </c>
      <c r="B578" s="44" t="str">
        <f ca="1">CELL("address", 'CEO Supplement'!M41)</f>
        <v>'[2025 ACEC-EFCG Key Financials Survey Form - BLANK (Unlocked).xlsx]CEO Supplement'!$M$41</v>
      </c>
      <c r="C578" s="8" t="str">
        <f ca="1">IF(INDIRECT(DB_Map[[#This Row],[Location]])&lt;&gt;"", INDIRECT(DB_Map[[#This Row],[Location]]), "")</f>
        <v/>
      </c>
    </row>
    <row r="579" spans="1:3" x14ac:dyDescent="0.25">
      <c r="A579" s="374">
        <v>859</v>
      </c>
      <c r="B579" s="44" t="str">
        <f ca="1">CELL("address", 'Revenue Details'!J144:M144)</f>
        <v>'[2025 ACEC-EFCG Key Financials Survey Form - BLANK (Unlocked).xlsx]Revenue Details'!$J$144</v>
      </c>
      <c r="C579" s="8" t="str">
        <f ca="1">IF(INDIRECT(DB_Map[[#This Row],[Location]])&lt;&gt;"", INDIRECT(DB_Map[[#This Row],[Location]]), "")</f>
        <v/>
      </c>
    </row>
    <row r="580" spans="1:3" x14ac:dyDescent="0.25">
      <c r="A580" s="374">
        <v>860</v>
      </c>
      <c r="B580" s="44" t="str">
        <f ca="1">CELL("address", 'Revenue Details'!L148)</f>
        <v>'[2025 ACEC-EFCG Key Financials Survey Form - BLANK (Unlocked).xlsx]Revenue Details'!$L$148</v>
      </c>
      <c r="C580" s="8" t="str">
        <f ca="1">IF(INDIRECT(DB_Map[[#This Row],[Location]])&lt;&gt;"", INDIRECT(DB_Map[[#This Row],[Location]]), "")</f>
        <v/>
      </c>
    </row>
    <row r="581" spans="1:3" x14ac:dyDescent="0.25">
      <c r="A581" s="374">
        <v>850</v>
      </c>
      <c r="B581" s="44" t="str">
        <f ca="1">CELL("address", 'Revenue Details'!E152:F152)</f>
        <v>'[2025 ACEC-EFCG Key Financials Survey Form - BLANK (Unlocked).xlsx]Revenue Details'!$E$152</v>
      </c>
      <c r="C581" s="8" t="str">
        <f ca="1">IF(INDIRECT(DB_Map[[#This Row],[Location]])&lt;&gt;"", INDIRECT(DB_Map[[#This Row],[Location]]), "")</f>
        <v/>
      </c>
    </row>
    <row r="582" spans="1:3" x14ac:dyDescent="0.25">
      <c r="A582" s="374">
        <v>851</v>
      </c>
      <c r="B582" s="44" t="str">
        <f ca="1">CELL("address", 'Revenue Details'!I152:J152)</f>
        <v>'[2025 ACEC-EFCG Key Financials Survey Form - BLANK (Unlocked).xlsx]Revenue Details'!$I$152</v>
      </c>
      <c r="C582" s="8" t="str">
        <f ca="1">IF(INDIRECT(DB_Map[[#This Row],[Location]])&lt;&gt;"", INDIRECT(DB_Map[[#This Row],[Location]]), "")</f>
        <v/>
      </c>
    </row>
    <row r="583" spans="1:3" x14ac:dyDescent="0.25">
      <c r="A583" s="374">
        <v>852</v>
      </c>
      <c r="B583" s="44" t="str">
        <f ca="1">CELL("address", 'Revenue Details'!L152:M152)</f>
        <v>'[2025 ACEC-EFCG Key Financials Survey Form - BLANK (Unlocked).xlsx]Revenue Details'!$L$152</v>
      </c>
      <c r="C583" s="8" t="str">
        <f ca="1">IF(INDIRECT(DB_Map[[#This Row],[Location]])&lt;&gt;"", INDIRECT(DB_Map[[#This Row],[Location]]), "")</f>
        <v/>
      </c>
    </row>
    <row r="584" spans="1:3" x14ac:dyDescent="0.25">
      <c r="A584" s="374">
        <v>853</v>
      </c>
      <c r="B584" s="44" t="str">
        <f ca="1">CELL("address", 'Revenue Details'!E154:F154)</f>
        <v>'[2025 ACEC-EFCG Key Financials Survey Form - BLANK (Unlocked).xlsx]Revenue Details'!$E$154</v>
      </c>
      <c r="C584" s="8" t="str">
        <f ca="1">IF(INDIRECT(DB_Map[[#This Row],[Location]])&lt;&gt;"", INDIRECT(DB_Map[[#This Row],[Location]]), "")</f>
        <v/>
      </c>
    </row>
    <row r="585" spans="1:3" x14ac:dyDescent="0.25">
      <c r="A585" s="374">
        <v>854</v>
      </c>
      <c r="B585" s="44" t="str">
        <f ca="1">CELL("address", 'Revenue Details'!I154:J154)</f>
        <v>'[2025 ACEC-EFCG Key Financials Survey Form - BLANK (Unlocked).xlsx]Revenue Details'!$I$154</v>
      </c>
      <c r="C585" s="8" t="str">
        <f ca="1">IF(INDIRECT(DB_Map[[#This Row],[Location]])&lt;&gt;"", INDIRECT(DB_Map[[#This Row],[Location]]), "")</f>
        <v/>
      </c>
    </row>
    <row r="586" spans="1:3" x14ac:dyDescent="0.25">
      <c r="A586" s="374">
        <v>820</v>
      </c>
      <c r="B586" s="44" t="str">
        <f ca="1">CELL("address", 'CEO Supplement'!I77:L77)</f>
        <v>'[2025 ACEC-EFCG Key Financials Survey Form - BLANK (Unlocked).xlsx]CEO Supplement'!$I$77</v>
      </c>
      <c r="C586" s="8" t="str">
        <f ca="1">IF(INDIRECT(DB_Map[[#This Row],[Location]])&lt;&gt;"", INDIRECT(DB_Map[[#This Row],[Location]]), "")</f>
        <v/>
      </c>
    </row>
    <row r="587" spans="1:3" x14ac:dyDescent="0.25">
      <c r="A587" s="374">
        <v>821</v>
      </c>
      <c r="B587" s="44" t="str">
        <f ca="1">CELL("address", 'CEO Supplement'!H79:M79)</f>
        <v>'[2025 ACEC-EFCG Key Financials Survey Form - BLANK (Unlocked).xlsx]CEO Supplement'!$H$79</v>
      </c>
      <c r="C587" s="8" t="str">
        <f ca="1">IF(INDIRECT(DB_Map[[#This Row],[Location]])&lt;&gt;"", INDIRECT(DB_Map[[#This Row],[Location]]), "")</f>
        <v/>
      </c>
    </row>
    <row r="588" spans="1:3" x14ac:dyDescent="0.25">
      <c r="A588" s="374">
        <v>822</v>
      </c>
      <c r="B588" s="44" t="str">
        <f ca="1">CELL("address", 'CEO Supplement'!F83:H83)</f>
        <v>'[2025 ACEC-EFCG Key Financials Survey Form - BLANK (Unlocked).xlsx]CEO Supplement'!$F$83</v>
      </c>
      <c r="C588" s="8" t="str">
        <f ca="1">IF(INDIRECT(DB_Map[[#This Row],[Location]])&lt;&gt;"", INDIRECT(DB_Map[[#This Row],[Location]]), "")</f>
        <v/>
      </c>
    </row>
    <row r="589" spans="1:3" x14ac:dyDescent="0.25">
      <c r="A589" s="374">
        <v>823</v>
      </c>
      <c r="B589" s="44" t="str">
        <f ca="1">CELL("address", 'CEO Supplement'!J83:M83)</f>
        <v>'[2025 ACEC-EFCG Key Financials Survey Form - BLANK (Unlocked).xlsx]CEO Supplement'!$J$83</v>
      </c>
      <c r="C589" s="8" t="str">
        <f ca="1">IF(INDIRECT(DB_Map[[#This Row],[Location]])&lt;&gt;"", INDIRECT(DB_Map[[#This Row],[Location]]), "")</f>
        <v/>
      </c>
    </row>
    <row r="590" spans="1:3" x14ac:dyDescent="0.25">
      <c r="A590" s="374">
        <v>824</v>
      </c>
      <c r="B590" s="44" t="str">
        <f ca="1">CELL("address", 'CEO Supplement'!F85:H85)</f>
        <v>'[2025 ACEC-EFCG Key Financials Survey Form - BLANK (Unlocked).xlsx]CEO Supplement'!$F$85</v>
      </c>
      <c r="C590" s="8" t="str">
        <f ca="1">IF(INDIRECT(DB_Map[[#This Row],[Location]])&lt;&gt;"", INDIRECT(DB_Map[[#This Row],[Location]]), "")</f>
        <v/>
      </c>
    </row>
    <row r="591" spans="1:3" x14ac:dyDescent="0.25">
      <c r="A591" s="374">
        <v>825</v>
      </c>
      <c r="B591" s="44" t="str">
        <f ca="1">CELL("address", 'CEO Supplement'!J85:M85)</f>
        <v>'[2025 ACEC-EFCG Key Financials Survey Form - BLANK (Unlocked).xlsx]CEO Supplement'!$J$85</v>
      </c>
      <c r="C591" s="8" t="str">
        <f ca="1">IF(INDIRECT(DB_Map[[#This Row],[Location]])&lt;&gt;"", INDIRECT(DB_Map[[#This Row],[Location]]), "")</f>
        <v/>
      </c>
    </row>
    <row r="592" spans="1:3" x14ac:dyDescent="0.25">
      <c r="A592" s="374">
        <v>826</v>
      </c>
      <c r="B592" s="44" t="str">
        <f ca="1">CELL("address", 'CEO Supplement'!F87:H87)</f>
        <v>'[2025 ACEC-EFCG Key Financials Survey Form - BLANK (Unlocked).xlsx]CEO Supplement'!$F$87</v>
      </c>
      <c r="C592" s="8" t="str">
        <f ca="1">IF(INDIRECT(DB_Map[[#This Row],[Location]])&lt;&gt;"", INDIRECT(DB_Map[[#This Row],[Location]]), "")</f>
        <v/>
      </c>
    </row>
    <row r="593" spans="1:3" x14ac:dyDescent="0.25">
      <c r="A593" s="374">
        <v>827</v>
      </c>
      <c r="B593" s="44" t="str">
        <f ca="1">CELL("address", 'CEO Supplement'!J87:M87)</f>
        <v>'[2025 ACEC-EFCG Key Financials Survey Form - BLANK (Unlocked).xlsx]CEO Supplement'!$J$87</v>
      </c>
      <c r="C593" s="8" t="str">
        <f ca="1">IF(INDIRECT(DB_Map[[#This Row],[Location]])&lt;&gt;"", INDIRECT(DB_Map[[#This Row],[Location]]), "")</f>
        <v/>
      </c>
    </row>
    <row r="594" spans="1:3" x14ac:dyDescent="0.25">
      <c r="A594" s="374">
        <v>778</v>
      </c>
      <c r="B594" s="44" t="str">
        <f ca="1">CELL("address", 'CEO Supplement'!H224)</f>
        <v>'[2025 ACEC-EFCG Key Financials Survey Form - BLANK (Unlocked).xlsx]CEO Supplement'!$H$224</v>
      </c>
      <c r="C594" s="8" t="str">
        <f ca="1">IF(INDIRECT(DB_Map[[#This Row],[Location]])="Yes", TRUE, IF(INDIRECT(DB_Map[[#This Row],[Location]])="No", FALSE, ""))</f>
        <v/>
      </c>
    </row>
    <row r="595" spans="1:3" x14ac:dyDescent="0.25">
      <c r="A595" s="374">
        <v>779</v>
      </c>
      <c r="B595" s="44" t="str">
        <f ca="1">CELL("address", 'CEO Supplement'!H226)</f>
        <v>'[2025 ACEC-EFCG Key Financials Survey Form - BLANK (Unlocked).xlsx]CEO Supplement'!$H$226</v>
      </c>
      <c r="C595" s="8" t="str">
        <f ca="1">IF(INDIRECT(DB_Map[[#This Row],[Location]])="Yes", TRUE, IF(INDIRECT(DB_Map[[#This Row],[Location]])="No", FALSE, ""))</f>
        <v/>
      </c>
    </row>
    <row r="596" spans="1:3" x14ac:dyDescent="0.25">
      <c r="A596" s="374">
        <v>780</v>
      </c>
      <c r="B596" s="44" t="str">
        <f ca="1">CELL("address", 'CEO Supplement'!M226)</f>
        <v>'[2025 ACEC-EFCG Key Financials Survey Form - BLANK (Unlocked).xlsx]CEO Supplement'!$M$226</v>
      </c>
      <c r="C596" s="8" t="str">
        <f ca="1">IF(INDIRECT(DB_Map[[#This Row],[Location]])&lt;&gt;"", INDIRECT(DB_Map[[#This Row],[Location]]), "")</f>
        <v/>
      </c>
    </row>
    <row r="597" spans="1:3" x14ac:dyDescent="0.25">
      <c r="A597" s="374">
        <v>781</v>
      </c>
      <c r="B597" s="44" t="str">
        <f ca="1">CELL("address", 'CEO Supplement'!H228)</f>
        <v>'[2025 ACEC-EFCG Key Financials Survey Form - BLANK (Unlocked).xlsx]CEO Supplement'!$H$228</v>
      </c>
      <c r="C597" s="8" t="str">
        <f ca="1">IF(INDIRECT(DB_Map[[#This Row],[Location]])="Yes", TRUE, IF(INDIRECT(DB_Map[[#This Row],[Location]])="No", FALSE, ""))</f>
        <v/>
      </c>
    </row>
    <row r="598" spans="1:3" x14ac:dyDescent="0.25">
      <c r="A598" s="374">
        <v>782</v>
      </c>
      <c r="B598" s="44" t="str">
        <f ca="1">CELL("address", 'CEO Supplement'!M228)</f>
        <v>'[2025 ACEC-EFCG Key Financials Survey Form - BLANK (Unlocked).xlsx]CEO Supplement'!$M$228</v>
      </c>
      <c r="C598" s="8" t="str">
        <f ca="1">IF(INDIRECT(DB_Map[[#This Row],[Location]])&lt;&gt;"", INDIRECT(DB_Map[[#This Row],[Location]]), "")</f>
        <v/>
      </c>
    </row>
    <row r="599" spans="1:3" x14ac:dyDescent="0.25">
      <c r="A599" s="374">
        <v>588</v>
      </c>
      <c r="B599" s="44" t="str">
        <f ca="1">CELL("address",'CEO Supplement'!D236:L236)</f>
        <v>'[2025 ACEC-EFCG Key Financials Survey Form - BLANK (Unlocked).xlsx]CEO Supplement'!$D$236</v>
      </c>
      <c r="C599" s="8" t="str">
        <f ca="1">IF(INDIRECT(DB_Map[[#This Row],[Location]])&lt;&gt;"", INDIRECT(DB_Map[[#This Row],[Location]]), "")</f>
        <v/>
      </c>
    </row>
    <row r="600" spans="1:3" x14ac:dyDescent="0.25">
      <c r="A600" s="374">
        <v>589</v>
      </c>
      <c r="B600" s="44" t="str">
        <f ca="1">CELL("address",'CEO Supplement'!D240:L240)</f>
        <v>'[2025 ACEC-EFCG Key Financials Survey Form - BLANK (Unlocked).xlsx]CEO Supplement'!$D$240</v>
      </c>
      <c r="C600" s="8" t="str">
        <f ca="1">IF(INDIRECT(DB_Map[[#This Row],[Location]])&lt;&gt;"", INDIRECT(DB_Map[[#This Row],[Location]]), "")</f>
        <v/>
      </c>
    </row>
    <row r="601" spans="1:3" x14ac:dyDescent="0.25">
      <c r="A601" s="374">
        <v>598</v>
      </c>
      <c r="B601" s="44" t="str">
        <f ca="1">CELL("address", 'Ownership, Governance, Talent'!D175)</f>
        <v>'[2025 ACEC-EFCG Key Financials Survey Form - BLANK (Unlocked).xlsx]Ownership, Governance, Talent'!$D$175</v>
      </c>
      <c r="C601" s="8" t="str">
        <f ca="1">IF(INDIRECT(DB_Map[[#This Row],[Location]])&lt;&gt;"", INDIRECT(DB_Map[[#This Row],[Location]]), "")</f>
        <v/>
      </c>
    </row>
    <row r="602" spans="1:3" x14ac:dyDescent="0.25">
      <c r="A602" s="374">
        <v>920</v>
      </c>
      <c r="B602" s="44" t="str">
        <f ca="1">CELL("address", 'CEO Supplement'!I29:M29)</f>
        <v>'[2025 ACEC-EFCG Key Financials Survey Form - BLANK (Unlocked).xlsx]CEO Supplement'!$I$29</v>
      </c>
      <c r="C602" s="8" t="str">
        <f ca="1">IF(INDIRECT(DB_Map[[#This Row],[Location]])&lt;&gt;"", INDIRECT(DB_Map[[#This Row],[Location]]), "")</f>
        <v/>
      </c>
    </row>
    <row r="603" spans="1:3" x14ac:dyDescent="0.25">
      <c r="A603" s="374">
        <v>921</v>
      </c>
      <c r="B603" s="44" t="str">
        <f ca="1">CELL("address",'CEO Supplement'!M31)</f>
        <v>'[2025 ACEC-EFCG Key Financials Survey Form - BLANK (Unlocked).xlsx]CEO Supplement'!$M$31</v>
      </c>
      <c r="C603" s="8" t="str">
        <f ca="1">IF(INDIRECT(DB_Map[[#This Row],[Location]])&lt;&gt;"", INDIRECT(DB_Map[[#This Row],[Location]]), "")</f>
        <v/>
      </c>
    </row>
    <row r="604" spans="1:3" x14ac:dyDescent="0.25">
      <c r="A604" s="374">
        <v>922</v>
      </c>
      <c r="B604" s="44" t="str">
        <f ca="1">CELL("address", 'CEO Supplement'!M33)</f>
        <v>'[2025 ACEC-EFCG Key Financials Survey Form - BLANK (Unlocked).xlsx]CEO Supplement'!$M$33</v>
      </c>
      <c r="C604" s="8" t="str">
        <f ca="1">IF(INDIRECT(DB_Map[[#This Row],[Location]])&lt;&gt;"", INDIRECT(DB_Map[[#This Row],[Location]]), "")</f>
        <v/>
      </c>
    </row>
    <row r="605" spans="1:3" x14ac:dyDescent="0.25">
      <c r="A605" s="374">
        <v>923</v>
      </c>
      <c r="B605" s="44" t="str">
        <f ca="1">CELL("address", 'CEO Supplement'!G39)</f>
        <v>'[2025 ACEC-EFCG Key Financials Survey Form - BLANK (Unlocked).xlsx]CEO Supplement'!$G$39</v>
      </c>
      <c r="C605" s="8" t="str">
        <f ca="1">IF(INDIRECT(DB_Map[[#This Row],[Location]])&lt;&gt;"", INDIRECT(DB_Map[[#This Row],[Location]]), "")</f>
        <v/>
      </c>
    </row>
    <row r="606" spans="1:3" x14ac:dyDescent="0.25">
      <c r="A606" s="374">
        <v>924</v>
      </c>
      <c r="B606" s="44" t="str">
        <f ca="1">CELL("address", 'CEO Supplement'!J39)</f>
        <v>'[2025 ACEC-EFCG Key Financials Survey Form - BLANK (Unlocked).xlsx]CEO Supplement'!$J$39</v>
      </c>
      <c r="C606" s="8" t="str">
        <f ca="1">IF(INDIRECT(DB_Map[[#This Row],[Location]])&lt;&gt;"", INDIRECT(DB_Map[[#This Row],[Location]]), "")</f>
        <v/>
      </c>
    </row>
    <row r="607" spans="1:3" x14ac:dyDescent="0.25">
      <c r="A607" s="374">
        <v>925</v>
      </c>
      <c r="B607" s="44" t="str">
        <f ca="1">CELL("address", 'CEO Supplement'!M39)</f>
        <v>'[2025 ACEC-EFCG Key Financials Survey Form - BLANK (Unlocked).xlsx]CEO Supplement'!$M$39</v>
      </c>
      <c r="C607" s="8" t="str">
        <f ca="1">IF(INDIRECT(DB_Map[[#This Row],[Location]])&lt;&gt;"", INDIRECT(DB_Map[[#This Row],[Location]]), "")</f>
        <v/>
      </c>
    </row>
    <row r="608" spans="1:3" x14ac:dyDescent="0.25">
      <c r="A608" s="374">
        <v>927</v>
      </c>
      <c r="B608" s="44" t="str">
        <f ca="1">CELL("address", 'CEO Supplement'!K67:M67)</f>
        <v>'[2025 ACEC-EFCG Key Financials Survey Form - BLANK (Unlocked).xlsx]CEO Supplement'!$K$67</v>
      </c>
      <c r="C608" s="8" t="str">
        <f ca="1">IF(INDIRECT(DB_Map[[#This Row],[Location]])&lt;&gt;"", INDIRECT(DB_Map[[#This Row],[Location]]), "")</f>
        <v/>
      </c>
    </row>
    <row r="609" spans="1:3" x14ac:dyDescent="0.25">
      <c r="A609" s="374">
        <v>928</v>
      </c>
      <c r="B609" s="44" t="e">
        <f ca="1">CELL("address", 'CEO Supplement'!#REF!)</f>
        <v>#REF!</v>
      </c>
      <c r="C609" s="8" t="e">
        <f ca="1">IF(INDIRECT(DB_Map[[#This Row],[Location]])&lt;&gt;"", INDIRECT(DB_Map[[#This Row],[Location]]), "")</f>
        <v>#REF!</v>
      </c>
    </row>
    <row r="610" spans="1:3" x14ac:dyDescent="0.25">
      <c r="A610" s="374">
        <v>929</v>
      </c>
      <c r="B610" s="44" t="str">
        <f ca="1">CELL("address", 'CEO Supplement'!F46:M46)</f>
        <v>'[2025 ACEC-EFCG Key Financials Survey Form - BLANK (Unlocked).xlsx]CEO Supplement'!$F$46</v>
      </c>
      <c r="C610" s="8" t="str">
        <f ca="1">IF(INDIRECT(DB_Map[[#This Row],[Location]])&lt;&gt;"", INDIRECT(DB_Map[[#This Row],[Location]]), "")</f>
        <v/>
      </c>
    </row>
    <row r="611" spans="1:3" x14ac:dyDescent="0.25">
      <c r="A611" s="374">
        <v>930</v>
      </c>
      <c r="B611" s="44" t="str">
        <f ca="1">CELL("address", 'CEO Supplement'!I60:M60)</f>
        <v>'[2025 ACEC-EFCG Key Financials Survey Form - BLANK (Unlocked).xlsx]CEO Supplement'!$I$60</v>
      </c>
      <c r="C611" s="8" t="str">
        <f ca="1">IF(INDIRECT(DB_Map[[#This Row],[Location]])&lt;&gt;"", INDIRECT(DB_Map[[#This Row],[Location]]), "")</f>
        <v/>
      </c>
    </row>
    <row r="612" spans="1:3" x14ac:dyDescent="0.25">
      <c r="A612" s="374">
        <v>931</v>
      </c>
      <c r="B612" s="44" t="str">
        <f ca="1">CELL("address", 'CEO Supplement'!M192)</f>
        <v>'[2025 ACEC-EFCG Key Financials Survey Form - BLANK (Unlocked).xlsx]CEO Supplement'!$M$192</v>
      </c>
      <c r="C612" s="8" t="str">
        <f ca="1">IF(INDIRECT(DB_Map[[#This Row],[Location]])="Yes", TRUE, IF(INDIRECT(DB_Map[[#This Row],[Location]])="No", FALSE, ""))</f>
        <v/>
      </c>
    </row>
    <row r="613" spans="1:3" x14ac:dyDescent="0.25">
      <c r="A613" s="374">
        <v>932</v>
      </c>
      <c r="B613" s="44" t="str">
        <f ca="1">CELL("address", 'CEO Supplement'!M196)</f>
        <v>'[2025 ACEC-EFCG Key Financials Survey Form - BLANK (Unlocked).xlsx]CEO Supplement'!$M$196</v>
      </c>
      <c r="C613" s="8" t="str">
        <f ca="1">IF(INDIRECT(DB_Map[[#This Row],[Location]])="Yes", TRUE, IF(INDIRECT(DB_Map[[#This Row],[Location]])="No", FALSE, ""))</f>
        <v/>
      </c>
    </row>
    <row r="614" spans="1:3" x14ac:dyDescent="0.25">
      <c r="A614" s="374">
        <v>933</v>
      </c>
      <c r="B614" s="44" t="str">
        <f ca="1">CELL("address", 'CEO Supplement'!M204)</f>
        <v>'[2025 ACEC-EFCG Key Financials Survey Form - BLANK (Unlocked).xlsx]CEO Supplement'!$M$204</v>
      </c>
      <c r="C614" s="8" t="str">
        <f ca="1">IF(INDIRECT(DB_Map[[#This Row],[Location]])&lt;&gt;"", INDIRECT(DB_Map[[#This Row],[Location]]), "")</f>
        <v/>
      </c>
    </row>
    <row r="615" spans="1:3" x14ac:dyDescent="0.25">
      <c r="A615" s="374">
        <v>934</v>
      </c>
      <c r="B615" s="44" t="str">
        <f ca="1">CELL("address", 'CEO Supplement'!H194)</f>
        <v>'[2025 ACEC-EFCG Key Financials Survey Form - BLANK (Unlocked).xlsx]CEO Supplement'!$H$194</v>
      </c>
      <c r="C615" s="8" t="str">
        <f ca="1">IF(INDIRECT(DB_Map[[#This Row],[Location]])&lt;&gt;"", INDIRECT(DB_Map[[#This Row],[Location]]), "")</f>
        <v/>
      </c>
    </row>
    <row r="616" spans="1:3" x14ac:dyDescent="0.25">
      <c r="A616" s="374">
        <v>935</v>
      </c>
      <c r="B616" s="44" t="str">
        <f ca="1">CELL("address", 'CEO Supplement'!K194)</f>
        <v>'[2025 ACEC-EFCG Key Financials Survey Form - BLANK (Unlocked).xlsx]CEO Supplement'!$K$194</v>
      </c>
      <c r="C616" s="8" t="str">
        <f ca="1">IF(INDIRECT(DB_Map[[#This Row],[Location]])&lt;&gt;"", INDIRECT(DB_Map[[#This Row],[Location]]), "")</f>
        <v/>
      </c>
    </row>
    <row r="617" spans="1:3" x14ac:dyDescent="0.25">
      <c r="A617" s="374">
        <v>936</v>
      </c>
      <c r="B617" s="44" t="str">
        <f ca="1">CELL("address", 'CEO Supplement'!M194)</f>
        <v>'[2025 ACEC-EFCG Key Financials Survey Form - BLANK (Unlocked).xlsx]CEO Supplement'!$M$194</v>
      </c>
      <c r="C617" s="8" t="str">
        <f ca="1">IF(INDIRECT(DB_Map[[#This Row],[Location]])&lt;&gt;"", INDIRECT(DB_Map[[#This Row],[Location]]), "")</f>
        <v/>
      </c>
    </row>
    <row r="618" spans="1:3" x14ac:dyDescent="0.25">
      <c r="A618" s="374">
        <v>937</v>
      </c>
      <c r="B618" s="44" t="str">
        <f ca="1">CELL("address", 'CEO Supplement'!H198)</f>
        <v>'[2025 ACEC-EFCG Key Financials Survey Form - BLANK (Unlocked).xlsx]CEO Supplement'!$H$198</v>
      </c>
      <c r="C618" s="8" t="str">
        <f ca="1">IF(INDIRECT(DB_Map[[#This Row],[Location]])&lt;&gt;"", INDIRECT(DB_Map[[#This Row],[Location]]), "")</f>
        <v/>
      </c>
    </row>
    <row r="619" spans="1:3" x14ac:dyDescent="0.25">
      <c r="A619" s="374">
        <v>938</v>
      </c>
      <c r="B619" s="44" t="str">
        <f ca="1">CELL("address", 'CEO Supplement'!K198)</f>
        <v>'[2025 ACEC-EFCG Key Financials Survey Form - BLANK (Unlocked).xlsx]CEO Supplement'!$K$198</v>
      </c>
      <c r="C619" s="8" t="str">
        <f ca="1">IF(INDIRECT(DB_Map[[#This Row],[Location]])&lt;&gt;"", INDIRECT(DB_Map[[#This Row],[Location]]), "")</f>
        <v/>
      </c>
    </row>
    <row r="620" spans="1:3" x14ac:dyDescent="0.25">
      <c r="A620" s="374">
        <v>939</v>
      </c>
      <c r="B620" s="44" t="str">
        <f ca="1">CELL("address", 'CEO Supplement'!M198)</f>
        <v>'[2025 ACEC-EFCG Key Financials Survey Form - BLANK (Unlocked).xlsx]CEO Supplement'!$M$198</v>
      </c>
      <c r="C620" s="8" t="str">
        <f ca="1">IF(INDIRECT(DB_Map[[#This Row],[Location]])&lt;&gt;"", INDIRECT(DB_Map[[#This Row],[Location]]), "")</f>
        <v/>
      </c>
    </row>
    <row r="621" spans="1:3" x14ac:dyDescent="0.25">
      <c r="A621" s="374">
        <v>940</v>
      </c>
      <c r="B621" s="44" t="str">
        <f ca="1">CELL("address", 'CEO Supplement'!M206)</f>
        <v>'[2025 ACEC-EFCG Key Financials Survey Form - BLANK (Unlocked).xlsx]CEO Supplement'!$M$206</v>
      </c>
      <c r="C621" s="8" t="str">
        <f ca="1">IF(INDIRECT(DB_Map[[#This Row],[Location]])="Yes", TRUE, IF(INDIRECT(DB_Map[[#This Row],[Location]])="No", FALSE, ""))</f>
        <v/>
      </c>
    </row>
    <row r="622" spans="1:3" x14ac:dyDescent="0.25">
      <c r="A622" s="374">
        <v>941</v>
      </c>
      <c r="B622" s="44" t="str">
        <f ca="1">CELL("address", 'CEO Supplement'!M208)</f>
        <v>'[2025 ACEC-EFCG Key Financials Survey Form - BLANK (Unlocked).xlsx]CEO Supplement'!$M$208</v>
      </c>
      <c r="C622" s="8" t="str">
        <f ca="1">IF(INDIRECT(DB_Map[[#This Row],[Location]])&lt;&gt;"", INDIRECT(DB_Map[[#This Row],[Location]]), "")</f>
        <v/>
      </c>
    </row>
    <row r="623" spans="1:3" x14ac:dyDescent="0.25">
      <c r="A623" s="374">
        <v>942</v>
      </c>
      <c r="B623" s="44" t="str">
        <f ca="1">CELL("address", 'CEO Supplement'!F202)</f>
        <v>'[2025 ACEC-EFCG Key Financials Survey Form - BLANK (Unlocked).xlsx]CEO Supplement'!$F$202</v>
      </c>
      <c r="C623" s="8" t="str">
        <f ca="1">IF(INDIRECT(DB_Map[[#This Row],[Location]])&lt;&gt;"", INDIRECT(DB_Map[[#This Row],[Location]]), "")</f>
        <v/>
      </c>
    </row>
    <row r="624" spans="1:3" x14ac:dyDescent="0.25">
      <c r="A624" s="374">
        <v>943</v>
      </c>
      <c r="B624" s="44" t="str">
        <f ca="1">CELL("address",  'CEO Supplement'!I202)</f>
        <v>'[2025 ACEC-EFCG Key Financials Survey Form - BLANK (Unlocked).xlsx]CEO Supplement'!$I$202</v>
      </c>
      <c r="C624" s="8" t="str">
        <f ca="1">IF(INDIRECT(DB_Map[[#This Row],[Location]])&lt;&gt;"", INDIRECT(DB_Map[[#This Row],[Location]]), "")</f>
        <v/>
      </c>
    </row>
    <row r="625" spans="1:3" x14ac:dyDescent="0.25">
      <c r="A625" s="374">
        <v>944</v>
      </c>
      <c r="B625" s="44" t="str">
        <f ca="1">CELL("address",  'CEO Supplement'!M202)</f>
        <v>'[2025 ACEC-EFCG Key Financials Survey Form - BLANK (Unlocked).xlsx]CEO Supplement'!$M$202</v>
      </c>
      <c r="C625" s="8" t="str">
        <f ca="1">IF(INDIRECT(DB_Map[[#This Row],[Location]])&lt;&gt;"", INDIRECT(DB_Map[[#This Row],[Location]]), "")</f>
        <v/>
      </c>
    </row>
    <row r="626" spans="1:3" x14ac:dyDescent="0.25">
      <c r="A626" s="374">
        <v>945</v>
      </c>
      <c r="B626" s="44" t="str">
        <f ca="1">CELL("address", 'CapEx, M&amp;A'!M42)</f>
        <v>'[2025 ACEC-EFCG Key Financials Survey Form - BLANK (Unlocked).xlsx]CapEx, M&amp;A'!$M$42</v>
      </c>
      <c r="C626" s="8" t="str">
        <f ca="1">IF(INDIRECT(DB_Map[[#This Row],[Location]])="Yes", TRUE, IF(INDIRECT(DB_Map[[#This Row],[Location]])="No", FALSE, ""))</f>
        <v/>
      </c>
    </row>
    <row r="627" spans="1:3" x14ac:dyDescent="0.25">
      <c r="A627" s="374">
        <v>947</v>
      </c>
      <c r="B627" s="44" t="str">
        <f ca="1">CELL("address", 'CapEx, M&amp;A'!M54)</f>
        <v>'[2025 ACEC-EFCG Key Financials Survey Form - BLANK (Unlocked).xlsx]CapEx, M&amp;A'!$M$54</v>
      </c>
      <c r="C627" s="8" t="str">
        <f ca="1">IF(INDIRECT(DB_Map[[#This Row],[Location]])&lt;&gt;"", INDIRECT(DB_Map[[#This Row],[Location]]), "")</f>
        <v/>
      </c>
    </row>
    <row r="628" spans="1:3" x14ac:dyDescent="0.25">
      <c r="A628" s="374">
        <v>948</v>
      </c>
      <c r="B628" s="44" t="str">
        <f ca="1">CELL("address", 'CapEx, M&amp;A'!M62)</f>
        <v>'[2025 ACEC-EFCG Key Financials Survey Form - BLANK (Unlocked).xlsx]CapEx, M&amp;A'!$M$62</v>
      </c>
      <c r="C628" s="8" t="str">
        <f ca="1">IF(INDIRECT(DB_Map[[#This Row],[Location]])="Yes", TRUE, IF(INDIRECT(DB_Map[[#This Row],[Location]])="No", FALSE, ""))</f>
        <v/>
      </c>
    </row>
    <row r="629" spans="1:3" x14ac:dyDescent="0.25">
      <c r="A629" s="374">
        <v>949</v>
      </c>
      <c r="B629" s="44" t="str">
        <f ca="1">CELL("address", 'CapEx, M&amp;A'!H64)</f>
        <v>'[2025 ACEC-EFCG Key Financials Survey Form - BLANK (Unlocked).xlsx]CapEx, M&amp;A'!$H$64</v>
      </c>
      <c r="C629" s="8" t="str">
        <f ca="1">IF(INDIRECT(DB_Map[[#This Row],[Location]])&lt;&gt;"", INDIRECT(DB_Map[[#This Row],[Location]]), "")</f>
        <v/>
      </c>
    </row>
    <row r="630" spans="1:3" x14ac:dyDescent="0.25">
      <c r="A630" s="374">
        <v>950</v>
      </c>
      <c r="B630" s="44" t="str">
        <f ca="1">CELL("address", 'CapEx, M&amp;A'!M64)</f>
        <v>'[2025 ACEC-EFCG Key Financials Survey Form - BLANK (Unlocked).xlsx]CapEx, M&amp;A'!$M$64</v>
      </c>
      <c r="C630" s="8" t="str">
        <f ca="1">IF(INDIRECT(DB_Map[[#This Row],[Location]])&lt;&gt;"", INDIRECT(DB_Map[[#This Row],[Location]]), "")</f>
        <v/>
      </c>
    </row>
    <row r="631" spans="1:3" x14ac:dyDescent="0.25">
      <c r="A631" s="374">
        <v>951</v>
      </c>
      <c r="B631" s="44" t="str">
        <f ca="1">CELL("address", 'CapEx, M&amp;A'!H66)</f>
        <v>'[2025 ACEC-EFCG Key Financials Survey Form - BLANK (Unlocked).xlsx]CapEx, M&amp;A'!$H$66</v>
      </c>
      <c r="C631" s="8" t="str">
        <f ca="1">IF(INDIRECT(DB_Map[[#This Row],[Location]])&lt;&gt;"", INDIRECT(DB_Map[[#This Row],[Location]]), "")</f>
        <v/>
      </c>
    </row>
    <row r="632" spans="1:3" x14ac:dyDescent="0.25">
      <c r="A632" s="374">
        <v>952</v>
      </c>
      <c r="B632" s="44" t="str">
        <f ca="1">CELL("address", 'CapEx, M&amp;A'!M66)</f>
        <v>'[2025 ACEC-EFCG Key Financials Survey Form - BLANK (Unlocked).xlsx]CapEx, M&amp;A'!$M$66</v>
      </c>
      <c r="C632" s="8" t="str">
        <f ca="1">IF(INDIRECT(DB_Map[[#This Row],[Location]])&lt;&gt;"", INDIRECT(DB_Map[[#This Row],[Location]]), "")</f>
        <v/>
      </c>
    </row>
    <row r="633" spans="1:3" x14ac:dyDescent="0.25">
      <c r="A633" s="374">
        <v>953</v>
      </c>
      <c r="B633" s="44" t="str">
        <f ca="1">CELL("address", 'CapEx, M&amp;A'!H68)</f>
        <v>'[2025 ACEC-EFCG Key Financials Survey Form - BLANK (Unlocked).xlsx]CapEx, M&amp;A'!$H$68</v>
      </c>
      <c r="C633" s="8" t="str">
        <f ca="1">IF(INDIRECT(DB_Map[[#This Row],[Location]])="Yes", TRUE, IF(INDIRECT(DB_Map[[#This Row],[Location]])="No", FALSE, ""))</f>
        <v/>
      </c>
    </row>
    <row r="634" spans="1:3" x14ac:dyDescent="0.25">
      <c r="A634" s="374">
        <v>954</v>
      </c>
      <c r="B634" s="44" t="str">
        <f ca="1">CELL("address", 'CapEx, M&amp;A'!M68)</f>
        <v>'[2025 ACEC-EFCG Key Financials Survey Form - BLANK (Unlocked).xlsx]CapEx, M&amp;A'!$M$68</v>
      </c>
      <c r="C634" s="8" t="str">
        <f ca="1">IF(INDIRECT(DB_Map[[#This Row],[Location]])&lt;&gt;"", INDIRECT(DB_Map[[#This Row],[Location]]), "")</f>
        <v/>
      </c>
    </row>
    <row r="635" spans="1:3" x14ac:dyDescent="0.25">
      <c r="A635" s="374">
        <v>955</v>
      </c>
      <c r="B635" s="44" t="str">
        <f ca="1">CELL("address", 'CapEx, M&amp;A'!I72:M72)</f>
        <v>'[2025 ACEC-EFCG Key Financials Survey Form - BLANK (Unlocked).xlsx]CapEx, M&amp;A'!$I$72</v>
      </c>
      <c r="C635" s="8" t="str">
        <f ca="1">IF(INDIRECT(DB_Map[[#This Row],[Location]])&lt;&gt;"", INDIRECT(DB_Map[[#This Row],[Location]]), "")</f>
        <v/>
      </c>
    </row>
    <row r="636" spans="1:3" x14ac:dyDescent="0.25">
      <c r="A636" s="374">
        <v>956</v>
      </c>
      <c r="B636" s="44" t="str">
        <f ca="1">CELL("address", 'CapEx, M&amp;A'!H70)</f>
        <v>'[2025 ACEC-EFCG Key Financials Survey Form - BLANK (Unlocked).xlsx]CapEx, M&amp;A'!$H$70</v>
      </c>
      <c r="C636" s="8" t="str">
        <f ca="1">IF(INDIRECT(DB_Map[[#This Row],[Location]])="Yes", TRUE, IF(INDIRECT(DB_Map[[#This Row],[Location]])="No", FALSE, ""))</f>
        <v/>
      </c>
    </row>
    <row r="637" spans="1:3" x14ac:dyDescent="0.25">
      <c r="A637" s="374">
        <v>957</v>
      </c>
      <c r="B637" s="44" t="str">
        <f ca="1">CELL("address", 'CapEx, M&amp;A'!L70:M70)</f>
        <v>'[2025 ACEC-EFCG Key Financials Survey Form - BLANK (Unlocked).xlsx]CapEx, M&amp;A'!$L$70</v>
      </c>
      <c r="C637" s="8" t="str">
        <f ca="1">IF(INDIRECT(DB_Map[[#This Row],[Location]])&lt;&gt;"", INDIRECT(DB_Map[[#This Row],[Location]]), "")</f>
        <v/>
      </c>
    </row>
    <row r="638" spans="1:3" x14ac:dyDescent="0.25">
      <c r="A638" s="374">
        <v>958</v>
      </c>
      <c r="B638" s="44" t="str">
        <f ca="1">CELL("address", 'CapEx, M&amp;A'!G150)</f>
        <v>'[2025 ACEC-EFCG Key Financials Survey Form - BLANK (Unlocked).xlsx]CapEx, M&amp;A'!$G$150</v>
      </c>
      <c r="C638" s="8" t="str">
        <f ca="1">IF(INDIRECT(DB_Map[[#This Row],[Location]])="Yes", TRUE, IF(INDIRECT(DB_Map[[#This Row],[Location]])="No", FALSE, ""))</f>
        <v/>
      </c>
    </row>
    <row r="639" spans="1:3" x14ac:dyDescent="0.25">
      <c r="A639" s="374">
        <v>959</v>
      </c>
      <c r="B639" s="44" t="str">
        <f ca="1">CELL("address", 'CapEx, M&amp;A'!K150)</f>
        <v>'[2025 ACEC-EFCG Key Financials Survey Form - BLANK (Unlocked).xlsx]CapEx, M&amp;A'!$K$150</v>
      </c>
      <c r="C639" s="8" t="str">
        <f ca="1">IF(INDIRECT(DB_Map[[#This Row],[Location]])&lt;&gt;"", INDIRECT(DB_Map[[#This Row],[Location]]), "")</f>
        <v/>
      </c>
    </row>
    <row r="640" spans="1:3" x14ac:dyDescent="0.25">
      <c r="A640" s="374">
        <v>960</v>
      </c>
      <c r="B640" s="44" t="str">
        <f ca="1">CELL("address", 'Ownership, Governance, Talent'!M56)</f>
        <v>'[2025 ACEC-EFCG Key Financials Survey Form - BLANK (Unlocked).xlsx]Ownership, Governance, Talent'!$M$56</v>
      </c>
      <c r="C640" s="8" t="str">
        <f ca="1">IF(INDIRECT(DB_Map[[#This Row],[Location]])&lt;&gt;"", INDIRECT(DB_Map[[#This Row],[Location]]), "")</f>
        <v/>
      </c>
    </row>
    <row r="641" spans="1:3" x14ac:dyDescent="0.25">
      <c r="A641" s="374">
        <v>962</v>
      </c>
      <c r="B641" s="44" t="str">
        <f ca="1">CELL("address", 'Ownership, Governance, Talent'!M60)</f>
        <v>'[2025 ACEC-EFCG Key Financials Survey Form - BLANK (Unlocked).xlsx]Ownership, Governance, Talent'!$M$60</v>
      </c>
      <c r="C641" s="8" t="str">
        <f ca="1">IF(INDIRECT(DB_Map[[#This Row],[Location]])&lt;&gt;"", INDIRECT(DB_Map[[#This Row],[Location]]), "")</f>
        <v/>
      </c>
    </row>
    <row r="642" spans="1:3" x14ac:dyDescent="0.25">
      <c r="A642" s="374">
        <v>964</v>
      </c>
      <c r="B642" s="44" t="str">
        <f ca="1">CELL("address", 'CEO Supplement'!M224)</f>
        <v>'[2025 ACEC-EFCG Key Financials Survey Form - BLANK (Unlocked).xlsx]CEO Supplement'!$M$224</v>
      </c>
      <c r="C642" s="8" t="str">
        <f ca="1">IF(INDIRECT(DB_Map[[#This Row],[Location]])="Yes", TRUE, IF(INDIRECT(DB_Map[[#This Row],[Location]])="No", FALSE, ""))</f>
        <v/>
      </c>
    </row>
    <row r="643" spans="1:3" x14ac:dyDescent="0.25">
      <c r="A643" s="374">
        <v>965</v>
      </c>
      <c r="B643" s="44" t="str">
        <f ca="1">CELL("address", 'Key Financials'!M85)</f>
        <v>'[2025 ACEC-EFCG Key Financials Survey Form - BLANK (Unlocked).xlsx]Key Financials'!$M$85</v>
      </c>
      <c r="C643" s="8" t="str">
        <f ca="1">IF(INDIRECT(DB_Map[[#This Row],[Location]])&lt;&gt;"", INDIRECT(DB_Map[[#This Row],[Location]]), "")</f>
        <v/>
      </c>
    </row>
    <row r="644" spans="1:3" x14ac:dyDescent="0.25">
      <c r="A644" s="374">
        <v>966</v>
      </c>
      <c r="B644" s="44" t="str">
        <f ca="1">CELL("address", 'Key Financials'!H86)</f>
        <v>'[2025 ACEC-EFCG Key Financials Survey Form - BLANK (Unlocked).xlsx]Key Financials'!$H$86</v>
      </c>
      <c r="C644" s="8" t="str">
        <f ca="1">IF(INDIRECT(DB_Map[[#This Row],[Location]])&lt;&gt;"", INDIRECT(DB_Map[[#This Row],[Location]]), "")</f>
        <v/>
      </c>
    </row>
    <row r="645" spans="1:3" x14ac:dyDescent="0.25">
      <c r="A645" s="374">
        <v>967</v>
      </c>
      <c r="B645" s="44" t="str">
        <f ca="1">CELL("address", 'Revenue Details'!I204)</f>
        <v>'[2025 ACEC-EFCG Key Financials Survey Form - BLANK (Unlocked).xlsx]Revenue Details'!$I$204</v>
      </c>
      <c r="C645" s="8" t="str">
        <f ca="1">IF(INDIRECT(DB_Map[[#This Row],[Location]])&lt;&gt;"", INDIRECT(DB_Map[[#This Row],[Location]]), "")</f>
        <v/>
      </c>
    </row>
    <row r="646" spans="1:3" x14ac:dyDescent="0.25">
      <c r="A646" s="374">
        <v>969</v>
      </c>
      <c r="B646" s="44" t="str">
        <f ca="1">CELL("address", 'CEO Supplement'!M165)</f>
        <v>'[2025 ACEC-EFCG Key Financials Survey Form - BLANK (Unlocked).xlsx]CEO Supplement'!$M$165</v>
      </c>
      <c r="C646" s="8" t="str">
        <f ca="1">IF(INDIRECT(DB_Map[[#This Row],[Location]])="Yes", TRUE, IF(INDIRECT(DB_Map[[#This Row],[Location]])="No", FALSE, ""))</f>
        <v/>
      </c>
    </row>
    <row r="647" spans="1:3" x14ac:dyDescent="0.25">
      <c r="A647" s="374">
        <v>970</v>
      </c>
      <c r="B647" s="44" t="str">
        <f ca="1">CELL("address", 'CEO Supplement'!J167:M167)</f>
        <v>'[2025 ACEC-EFCG Key Financials Survey Form - BLANK (Unlocked).xlsx]CEO Supplement'!$J$167</v>
      </c>
      <c r="C647" s="8" t="str">
        <f ca="1">IF(INDIRECT(DB_Map[[#This Row],[Location]])&lt;&gt;"", INDIRECT(DB_Map[[#This Row],[Location]]), "")</f>
        <v/>
      </c>
    </row>
    <row r="648" spans="1:3" x14ac:dyDescent="0.25">
      <c r="A648" s="374">
        <v>971</v>
      </c>
      <c r="B648" s="44" t="str">
        <f ca="1">CELL("address", 'Revenue Details'!E208)</f>
        <v>'[2025 ACEC-EFCG Key Financials Survey Form - BLANK (Unlocked).xlsx]Revenue Details'!$E$208</v>
      </c>
      <c r="C648" s="8" t="str">
        <f ca="1">IF(INDIRECT(DB_Map[[#This Row],[Location]])="Yes", TRUE, IF(INDIRECT(DB_Map[[#This Row],[Location]])="No", FALSE, ""))</f>
        <v/>
      </c>
    </row>
    <row r="649" spans="1:3" x14ac:dyDescent="0.25">
      <c r="A649" s="374">
        <v>972</v>
      </c>
      <c r="B649" s="44" t="str">
        <f ca="1">CELL("address", 'Revenue Details'!E210)</f>
        <v>'[2025 ACEC-EFCG Key Financials Survey Form - BLANK (Unlocked).xlsx]Revenue Details'!$E$210</v>
      </c>
      <c r="C649" s="8" t="str">
        <f ca="1">IF(INDIRECT(DB_Map[[#This Row],[Location]])="Yes", TRUE, IF(INDIRECT(DB_Map[[#This Row],[Location]])="No", FALSE, ""))</f>
        <v/>
      </c>
    </row>
    <row r="650" spans="1:3" x14ac:dyDescent="0.25">
      <c r="A650" s="374">
        <v>973</v>
      </c>
      <c r="B650" s="44" t="str">
        <f ca="1">CELL("address", 'Revenue Details'!H208)</f>
        <v>'[2025 ACEC-EFCG Key Financials Survey Form - BLANK (Unlocked).xlsx]Revenue Details'!$H$208</v>
      </c>
      <c r="C650" s="8" t="str">
        <f ca="1">IF(INDIRECT(DB_Map[[#This Row],[Location]])="Yes", TRUE, IF(INDIRECT(DB_Map[[#This Row],[Location]])="No", FALSE, ""))</f>
        <v/>
      </c>
    </row>
    <row r="651" spans="1:3" x14ac:dyDescent="0.25">
      <c r="A651" s="374">
        <v>974</v>
      </c>
      <c r="B651" s="44" t="str">
        <f ca="1">CELL("address", 'Revenue Details'!H210)</f>
        <v>'[2025 ACEC-EFCG Key Financials Survey Form - BLANK (Unlocked).xlsx]Revenue Details'!$H$210</v>
      </c>
      <c r="C651" s="8" t="str">
        <f ca="1">IF(INDIRECT(DB_Map[[#This Row],[Location]])="Yes", TRUE, IF(INDIRECT(DB_Map[[#This Row],[Location]])="No", FALSE, ""))</f>
        <v/>
      </c>
    </row>
    <row r="652" spans="1:3" x14ac:dyDescent="0.25">
      <c r="A652" s="374">
        <v>975</v>
      </c>
      <c r="B652" s="44" t="str">
        <f ca="1">CELL("address", 'Revenue Details'!J208)</f>
        <v>'[2025 ACEC-EFCG Key Financials Survey Form - BLANK (Unlocked).xlsx]Revenue Details'!$J$208</v>
      </c>
      <c r="C652" s="8" t="str">
        <f ca="1">IF(INDIRECT(DB_Map[[#This Row],[Location]])="Yes", TRUE, IF(INDIRECT(DB_Map[[#This Row],[Location]])="No", FALSE, ""))</f>
        <v/>
      </c>
    </row>
    <row r="653" spans="1:3" x14ac:dyDescent="0.25">
      <c r="A653" s="374">
        <v>976</v>
      </c>
      <c r="B653" s="44" t="str">
        <f ca="1">CELL("address", 'Revenue Details'!J210)</f>
        <v>'[2025 ACEC-EFCG Key Financials Survey Form - BLANK (Unlocked).xlsx]Revenue Details'!$J$210</v>
      </c>
      <c r="C653" s="8" t="str">
        <f ca="1">IF(INDIRECT(DB_Map[[#This Row],[Location]])="Yes", TRUE, IF(INDIRECT(DB_Map[[#This Row],[Location]])="No", FALSE, ""))</f>
        <v/>
      </c>
    </row>
    <row r="654" spans="1:3" x14ac:dyDescent="0.25">
      <c r="A654" s="374">
        <v>977</v>
      </c>
      <c r="B654" s="44" t="str">
        <f ca="1">CELL("address", 'Revenue Details'!M208)</f>
        <v>'[2025 ACEC-EFCG Key Financials Survey Form - BLANK (Unlocked).xlsx]Revenue Details'!$M$208</v>
      </c>
      <c r="C654" s="8" t="str">
        <f ca="1">IF(INDIRECT(DB_Map[[#This Row],[Location]])="Yes", TRUE, IF(INDIRECT(DB_Map[[#This Row],[Location]])="No", FALSE, ""))</f>
        <v/>
      </c>
    </row>
    <row r="655" spans="1:3" x14ac:dyDescent="0.25">
      <c r="A655" s="374">
        <v>978</v>
      </c>
      <c r="B655" s="44" t="str">
        <f ca="1">CELL("address", 'Revenue Details'!M210)</f>
        <v>'[2025 ACEC-EFCG Key Financials Survey Form - BLANK (Unlocked).xlsx]Revenue Details'!$M$210</v>
      </c>
      <c r="C655" s="8" t="str">
        <f ca="1">IF(INDIRECT(DB_Map[[#This Row],[Location]])="Yes", TRUE, IF(INDIRECT(DB_Map[[#This Row],[Location]])="No", FALSE, ""))</f>
        <v/>
      </c>
    </row>
    <row r="656" spans="1:3" x14ac:dyDescent="0.25">
      <c r="A656" s="374">
        <v>979</v>
      </c>
      <c r="B656" s="44" t="str">
        <f ca="1">CELL("address", 'CEO Supplement'!M35)</f>
        <v>'[2025 ACEC-EFCG Key Financials Survey Form - BLANK (Unlocked).xlsx]CEO Supplement'!$M$35</v>
      </c>
      <c r="C656" s="8" t="str">
        <f ca="1">IF(INDIRECT(DB_Map[[#This Row],[Location]])&lt;&gt;"", INDIRECT(DB_Map[[#This Row],[Location]]), "")</f>
        <v/>
      </c>
    </row>
    <row r="657" spans="1:3" x14ac:dyDescent="0.25">
      <c r="A657" s="374">
        <v>523</v>
      </c>
      <c r="B657" s="44" t="str">
        <f ca="1">CELL("address", 'Key Financials'!I104)</f>
        <v>'[2025 ACEC-EFCG Key Financials Survey Form - BLANK (Unlocked).xlsx]Key Financials'!$I$104</v>
      </c>
      <c r="C657" s="8" t="str">
        <f ca="1">IF(INDIRECT(DB_Map[[#This Row],[Location]])&lt;&gt;"", INDIRECT(DB_Map[[#This Row],[Location]]), "")</f>
        <v/>
      </c>
    </row>
    <row r="658" spans="1:3" x14ac:dyDescent="0.25">
      <c r="A658" s="374">
        <v>524</v>
      </c>
      <c r="B658" s="44" t="str">
        <f ca="1">CELL("address", 'Key Financials'!K104)</f>
        <v>'[2025 ACEC-EFCG Key Financials Survey Form - BLANK (Unlocked).xlsx]Key Financials'!$K$104</v>
      </c>
      <c r="C658" s="8" t="str">
        <f ca="1">IF(INDIRECT(DB_Map[[#This Row],[Location]])&lt;&gt;"", INDIRECT(DB_Map[[#This Row],[Location]]), "")</f>
        <v/>
      </c>
    </row>
    <row r="659" spans="1:3" x14ac:dyDescent="0.25">
      <c r="A659" s="374">
        <v>525</v>
      </c>
      <c r="B659" s="44" t="str">
        <f ca="1">CELL("address", 'Key Financials'!M104)</f>
        <v>'[2025 ACEC-EFCG Key Financials Survey Form - BLANK (Unlocked).xlsx]Key Financials'!$M$104</v>
      </c>
      <c r="C659" s="8" t="str">
        <f ca="1">IF(INDIRECT(DB_Map[[#This Row],[Location]])&lt;&gt;"", INDIRECT(DB_Map[[#This Row],[Location]]), "")</f>
        <v/>
      </c>
    </row>
    <row r="660" spans="1:3" x14ac:dyDescent="0.25">
      <c r="A660" s="374">
        <v>980</v>
      </c>
      <c r="B660" s="44" t="str">
        <f ca="1">CELL("address", 'Ownership, Governance, Talent'!G58:M58)</f>
        <v>'[2025 ACEC-EFCG Key Financials Survey Form - BLANK (Unlocked).xlsx]Ownership, Governance, Talent'!$G$58</v>
      </c>
      <c r="C660" s="8" t="str">
        <f ca="1">IF(INDIRECT(DB_Map[[#This Row],[Location]])&lt;&gt;"", INDIRECT(DB_Map[[#This Row],[Location]]), "")</f>
        <v/>
      </c>
    </row>
    <row r="661" spans="1:3" x14ac:dyDescent="0.25">
      <c r="A661" s="374">
        <v>981</v>
      </c>
      <c r="B661" s="44" t="str">
        <f ca="1">CELL("address", 'Ownership, Governance, Talent'!G62:M62)</f>
        <v>'[2025 ACEC-EFCG Key Financials Survey Form - BLANK (Unlocked).xlsx]Ownership, Governance, Talent'!$G$62</v>
      </c>
      <c r="C661" s="8" t="str">
        <f ca="1">IF(INDIRECT(DB_Map[[#This Row],[Location]])&lt;&gt;"", INDIRECT(DB_Map[[#This Row],[Location]]), "")</f>
        <v/>
      </c>
    </row>
    <row r="662" spans="1:3" x14ac:dyDescent="0.25">
      <c r="A662" s="374">
        <v>982</v>
      </c>
      <c r="B662" s="44" t="str">
        <f ca="1">CELL("address", 'Ownership, Governance, Talent'!M149)</f>
        <v>'[2025 ACEC-EFCG Key Financials Survey Form - BLANK (Unlocked).xlsx]Ownership, Governance, Talent'!$M$149</v>
      </c>
      <c r="C662" s="8" t="str">
        <f ca="1">IF(INDIRECT(DB_Map[[#This Row],[Location]])&lt;&gt;"", INDIRECT(DB_Map[[#This Row],[Location]]), "")</f>
        <v/>
      </c>
    </row>
    <row r="663" spans="1:3" x14ac:dyDescent="0.25">
      <c r="A663" s="374">
        <v>983</v>
      </c>
      <c r="B663" s="44" t="str">
        <f ca="1">CELL("address", 'CapEx, M&amp;A'!G170)</f>
        <v>'[2025 ACEC-EFCG Key Financials Survey Form - BLANK (Unlocked).xlsx]CapEx, M&amp;A'!$G$170</v>
      </c>
      <c r="C663" s="8" t="str">
        <f ca="1">IF(INDIRECT(DB_Map[[#This Row],[Location]])="Yes", TRUE, IF(INDIRECT(DB_Map[[#This Row],[Location]])="No", FALSE, ""))</f>
        <v/>
      </c>
    </row>
    <row r="664" spans="1:3" x14ac:dyDescent="0.25">
      <c r="A664" s="374">
        <v>984</v>
      </c>
      <c r="B664" s="44" t="str">
        <f ca="1">CELL("address", 'CapEx, M&amp;A'!M170)</f>
        <v>'[2025 ACEC-EFCG Key Financials Survey Form - BLANK (Unlocked).xlsx]CapEx, M&amp;A'!$M$170</v>
      </c>
      <c r="C664" s="8" t="str">
        <f ca="1">IF(INDIRECT(DB_Map[[#This Row],[Location]])&lt;&gt;"", INDIRECT(DB_Map[[#This Row],[Location]]), "")</f>
        <v/>
      </c>
    </row>
    <row r="665" spans="1:3" x14ac:dyDescent="0.25">
      <c r="A665" s="374">
        <v>985</v>
      </c>
      <c r="B665" s="44" t="str">
        <f ca="1">CELL("address", 'Ownership, Governance, Talent'!M109)</f>
        <v>'[2025 ACEC-EFCG Key Financials Survey Form - BLANK (Unlocked).xlsx]Ownership, Governance, Talent'!$M$109</v>
      </c>
      <c r="C665" s="8" t="str">
        <f ca="1">IF(INDIRECT(DB_Map[[#This Row],[Location]])&lt;&gt;"", INDIRECT(DB_Map[[#This Row],[Location]]), "")</f>
        <v/>
      </c>
    </row>
    <row r="666" spans="1:3" x14ac:dyDescent="0.25">
      <c r="A666" s="374">
        <v>986</v>
      </c>
      <c r="B666" s="44" t="str">
        <f ca="1">CELL("address", 'Ownership, Governance, Talent'!M110)</f>
        <v>'[2025 ACEC-EFCG Key Financials Survey Form - BLANK (Unlocked).xlsx]Ownership, Governance, Talent'!$M$110</v>
      </c>
      <c r="C666" s="8" t="str">
        <f ca="1">IF(INDIRECT(DB_Map[[#This Row],[Location]])&lt;&gt;"", INDIRECT(DB_Map[[#This Row],[Location]]), "")</f>
        <v/>
      </c>
    </row>
    <row r="667" spans="1:3" x14ac:dyDescent="0.25">
      <c r="A667" s="374">
        <v>987</v>
      </c>
      <c r="B667" s="44" t="str">
        <f ca="1">CELL("address", 'Ownership, Governance, Talent'!J109)</f>
        <v>'[2025 ACEC-EFCG Key Financials Survey Form - BLANK (Unlocked).xlsx]Ownership, Governance, Talent'!$J$109</v>
      </c>
      <c r="C667" s="8" t="str">
        <f ca="1">IF(INDIRECT(DB_Map[[#This Row],[Location]])&lt;&gt;"", INDIRECT(DB_Map[[#This Row],[Location]]), "")</f>
        <v/>
      </c>
    </row>
    <row r="668" spans="1:3" x14ac:dyDescent="0.25">
      <c r="A668" s="374">
        <v>988</v>
      </c>
      <c r="B668" s="44" t="str">
        <f ca="1">CELL("address", 'Ownership, Governance, Talent'!J110)</f>
        <v>'[2025 ACEC-EFCG Key Financials Survey Form - BLANK (Unlocked).xlsx]Ownership, Governance, Talent'!$J$110</v>
      </c>
      <c r="C668" s="8" t="str">
        <f ca="1">IF(INDIRECT(DB_Map[[#This Row],[Location]])&lt;&gt;"", INDIRECT(DB_Map[[#This Row],[Location]]), "")</f>
        <v/>
      </c>
    </row>
    <row r="669" spans="1:3" x14ac:dyDescent="0.25">
      <c r="A669" s="374">
        <v>989</v>
      </c>
      <c r="B669" s="44" t="str">
        <f ca="1">CELL("address", 'CEO Supplement'!J169)</f>
        <v>'[2025 ACEC-EFCG Key Financials Survey Form - BLANK (Unlocked).xlsx]CEO Supplement'!$J$169</v>
      </c>
      <c r="C669" s="8" t="str">
        <f ca="1">IF(INDIRECT(DB_Map[[#This Row],[Location]])&lt;&gt;"", INDIRECT(DB_Map[[#This Row],[Location]]), "")</f>
        <v/>
      </c>
    </row>
    <row r="670" spans="1:3" x14ac:dyDescent="0.25">
      <c r="A670" s="374">
        <v>990</v>
      </c>
      <c r="B670" s="44" t="str">
        <f ca="1">CELL("address", 'CEO Supplement'!J170)</f>
        <v>'[2025 ACEC-EFCG Key Financials Survey Form - BLANK (Unlocked).xlsx]CEO Supplement'!$J$170</v>
      </c>
      <c r="C670" s="8" t="str">
        <f ca="1">IF(INDIRECT(DB_Map[[#This Row],[Location]])&lt;&gt;"", INDIRECT(DB_Map[[#This Row],[Location]]), "")</f>
        <v/>
      </c>
    </row>
    <row r="671" spans="1:3" x14ac:dyDescent="0.25">
      <c r="A671" s="374">
        <v>991</v>
      </c>
      <c r="B671" s="44" t="str">
        <f ca="1">CELL("address", 'CEO Supplement'!J172)</f>
        <v>'[2025 ACEC-EFCG Key Financials Survey Form - BLANK (Unlocked).xlsx]CEO Supplement'!$J$172</v>
      </c>
      <c r="C671" s="8" t="str">
        <f ca="1">IF(INDIRECT(DB_Map[[#This Row],[Location]])&lt;&gt;"", INDIRECT(DB_Map[[#This Row],[Location]]), "")</f>
        <v/>
      </c>
    </row>
    <row r="672" spans="1:3" x14ac:dyDescent="0.25">
      <c r="A672" s="374">
        <v>992</v>
      </c>
      <c r="B672" s="44" t="str">
        <f ca="1">CELL("address", 'CEO Supplement'!M169)</f>
        <v>'[2025 ACEC-EFCG Key Financials Survey Form - BLANK (Unlocked).xlsx]CEO Supplement'!$M$169</v>
      </c>
      <c r="C672" s="8" t="str">
        <f ca="1">IF(INDIRECT(DB_Map[[#This Row],[Location]])&lt;&gt;"", INDIRECT(DB_Map[[#This Row],[Location]]), "")</f>
        <v/>
      </c>
    </row>
    <row r="673" spans="1:3" x14ac:dyDescent="0.25">
      <c r="A673" s="374">
        <v>993</v>
      </c>
      <c r="B673" s="44" t="str">
        <f ca="1">CELL("address", 'CEO Supplement'!M170)</f>
        <v>'[2025 ACEC-EFCG Key Financials Survey Form - BLANK (Unlocked).xlsx]CEO Supplement'!$M$170</v>
      </c>
      <c r="C673" s="8" t="str">
        <f ca="1">IF(INDIRECT(DB_Map[[#This Row],[Location]])&lt;&gt;"", INDIRECT(DB_Map[[#This Row],[Location]]), "")</f>
        <v/>
      </c>
    </row>
    <row r="674" spans="1:3" x14ac:dyDescent="0.25">
      <c r="A674" s="374">
        <v>994</v>
      </c>
      <c r="B674" s="44" t="str">
        <f ca="1">CELL("address", 'CEO Supplement'!M172)</f>
        <v>'[2025 ACEC-EFCG Key Financials Survey Form - BLANK (Unlocked).xlsx]CEO Supplement'!$M$172</v>
      </c>
      <c r="C674" s="8" t="str">
        <f ca="1">IF(INDIRECT(DB_Map[[#This Row],[Location]])&lt;&gt;"", INDIRECT(DB_Map[[#This Row],[Location]]), "")</f>
        <v/>
      </c>
    </row>
    <row r="675" spans="1:3" x14ac:dyDescent="0.25">
      <c r="A675" s="374">
        <v>995</v>
      </c>
      <c r="B675" s="44" t="str">
        <f ca="1">CELL("address", 'CEO Supplement'!J174)</f>
        <v>'[2025 ACEC-EFCG Key Financials Survey Form - BLANK (Unlocked).xlsx]CEO Supplement'!$J$174</v>
      </c>
      <c r="C675" s="8" t="str">
        <f ca="1">IF(INDIRECT(DB_Map[[#This Row],[Location]])&lt;&gt;"", INDIRECT(DB_Map[[#This Row],[Location]]), "")</f>
        <v/>
      </c>
    </row>
    <row r="676" spans="1:3" x14ac:dyDescent="0.25">
      <c r="A676" s="374">
        <v>996</v>
      </c>
      <c r="B676" s="44" t="str">
        <f ca="1">CELL("address", 'CEO Supplement'!M174)</f>
        <v>'[2025 ACEC-EFCG Key Financials Survey Form - BLANK (Unlocked).xlsx]CEO Supplement'!$M$174</v>
      </c>
      <c r="C676" s="8" t="str">
        <f ca="1">IF(INDIRECT(DB_Map[[#This Row],[Location]])&lt;&gt;"", INDIRECT(DB_Map[[#This Row],[Location]]), "")</f>
        <v/>
      </c>
    </row>
    <row r="677" spans="1:3" x14ac:dyDescent="0.25">
      <c r="A677" s="374">
        <v>997</v>
      </c>
      <c r="B677" s="44" t="str">
        <f ca="1">CELL("address", 'CEO Supplement'!J176)</f>
        <v>'[2025 ACEC-EFCG Key Financials Survey Form - BLANK (Unlocked).xlsx]CEO Supplement'!$J$176</v>
      </c>
      <c r="C677" s="8" t="str">
        <f ca="1">IF(INDIRECT(DB_Map[[#This Row],[Location]])&lt;&gt;"", INDIRECT(DB_Map[[#This Row],[Location]]), "")</f>
        <v/>
      </c>
    </row>
    <row r="678" spans="1:3" x14ac:dyDescent="0.25">
      <c r="A678" s="374">
        <v>998</v>
      </c>
      <c r="B678" s="44" t="str">
        <f ca="1">CELL("address", 'CEO Supplement'!M176)</f>
        <v>'[2025 ACEC-EFCG Key Financials Survey Form - BLANK (Unlocked).xlsx]CEO Supplement'!$M$176</v>
      </c>
      <c r="C678" s="8" t="str">
        <f ca="1">IF(INDIRECT(DB_Map[[#This Row],[Location]])&lt;&gt;"", INDIRECT(DB_Map[[#This Row],[Location]]), "")</f>
        <v/>
      </c>
    </row>
    <row r="679" spans="1:3" x14ac:dyDescent="0.25">
      <c r="A679" s="374">
        <v>999</v>
      </c>
      <c r="B679" s="44" t="str">
        <f ca="1">CELL("address", 'CEO Supplement'!J178:M178)</f>
        <v>'[2025 ACEC-EFCG Key Financials Survey Form - BLANK (Unlocked).xlsx]CEO Supplement'!$J$178</v>
      </c>
      <c r="C679" s="8" t="str">
        <f ca="1">IF(INDIRECT(DB_Map[[#This Row],[Location]])&lt;&gt;"", INDIRECT(DB_Map[[#This Row],[Location]]), "")</f>
        <v/>
      </c>
    </row>
    <row r="680" spans="1:3" x14ac:dyDescent="0.25">
      <c r="A680" s="374">
        <v>1000</v>
      </c>
      <c r="B680" s="44" t="str">
        <f ca="1">CELL("address", 'CEO Supplement'!J181)</f>
        <v>'[2025 ACEC-EFCG Key Financials Survey Form - BLANK (Unlocked).xlsx]CEO Supplement'!$J$181</v>
      </c>
      <c r="C680" s="8" t="str">
        <f ca="1">IF(INDIRECT(DB_Map[[#This Row],[Location]])&lt;&gt;"", INDIRECT(DB_Map[[#This Row],[Location]]), "")</f>
        <v/>
      </c>
    </row>
    <row r="681" spans="1:3" x14ac:dyDescent="0.25">
      <c r="A681" s="374">
        <v>1001</v>
      </c>
      <c r="B681" s="44" t="str">
        <f ca="1">CELL("address", 'CEO Supplement'!M181)</f>
        <v>'[2025 ACEC-EFCG Key Financials Survey Form - BLANK (Unlocked).xlsx]CEO Supplement'!$M$181</v>
      </c>
      <c r="C681" s="8" t="str">
        <f ca="1">IF(INDIRECT(DB_Map[[#This Row],[Location]])&lt;&gt;"", INDIRECT(DB_Map[[#This Row],[Location]]), "")</f>
        <v/>
      </c>
    </row>
    <row r="682" spans="1:3" x14ac:dyDescent="0.25">
      <c r="A682" s="374">
        <v>1002</v>
      </c>
      <c r="B682" s="44" t="str">
        <f ca="1">CELL("address", 'CEO Supplement'!J183:M183)</f>
        <v>'[2025 ACEC-EFCG Key Financials Survey Form - BLANK (Unlocked).xlsx]CEO Supplement'!$J$183</v>
      </c>
      <c r="C682" s="8" t="str">
        <f ca="1">IF(INDIRECT(DB_Map[[#This Row],[Location]])&lt;&gt;"", INDIRECT(DB_Map[[#This Row],[Location]]), "")</f>
        <v/>
      </c>
    </row>
    <row r="683" spans="1:3" x14ac:dyDescent="0.25">
      <c r="A683" s="374">
        <v>1003</v>
      </c>
      <c r="B683" s="44" t="str">
        <f ca="1">CELL("address", 'CEO Supplement'!J185)</f>
        <v>'[2025 ACEC-EFCG Key Financials Survey Form - BLANK (Unlocked).xlsx]CEO Supplement'!$J$185</v>
      </c>
      <c r="C683" s="8" t="str">
        <f ca="1">IF(INDIRECT(DB_Map[[#This Row],[Location]])&lt;&gt;"", INDIRECT(DB_Map[[#This Row],[Location]]), "")</f>
        <v/>
      </c>
    </row>
    <row r="684" spans="1:3" x14ac:dyDescent="0.25">
      <c r="A684" s="374">
        <v>1004</v>
      </c>
      <c r="B684" s="44" t="str">
        <f ca="1">CELL("address", 'CEO Supplement'!M185)</f>
        <v>'[2025 ACEC-EFCG Key Financials Survey Form - BLANK (Unlocked).xlsx]CEO Supplement'!$M$185</v>
      </c>
      <c r="C684" s="8" t="str">
        <f ca="1">IF(INDIRECT(DB_Map[[#This Row],[Location]])&lt;&gt;"", INDIRECT(DB_Map[[#This Row],[Location]]), "")</f>
        <v/>
      </c>
    </row>
    <row r="685" spans="1:3" x14ac:dyDescent="0.25">
      <c r="A685" s="374">
        <v>1005</v>
      </c>
      <c r="B685" s="44" t="str">
        <f ca="1">CELL("address", 'CEO Supplement'!G210)</f>
        <v>'[2025 ACEC-EFCG Key Financials Survey Form - BLANK (Unlocked).xlsx]CEO Supplement'!$G$210</v>
      </c>
      <c r="C685" s="8" t="str">
        <f ca="1">IF(INDIRECT(DB_Map[[#This Row],[Location]])&lt;&gt;"", INDIRECT(DB_Map[[#This Row],[Location]]), "")</f>
        <v/>
      </c>
    </row>
    <row r="686" spans="1:3" x14ac:dyDescent="0.25">
      <c r="A686" s="374">
        <v>1007</v>
      </c>
      <c r="B686" s="44" t="str">
        <f ca="1">CELL("address", 'CEO Supplement'!G212:H212)</f>
        <v>'[2025 ACEC-EFCG Key Financials Survey Form - BLANK (Unlocked).xlsx]CEO Supplement'!$G$212</v>
      </c>
      <c r="C686" s="8" t="str">
        <f ca="1">IF(INDIRECT(DB_Map[[#This Row],[Location]])&lt;&gt;"", INDIRECT(DB_Map[[#This Row],[Location]]), "")</f>
        <v/>
      </c>
    </row>
    <row r="687" spans="1:3" x14ac:dyDescent="0.25">
      <c r="A687" s="374">
        <v>1008</v>
      </c>
      <c r="B687" s="44" t="str">
        <f ca="1">CELL("address", 'CEO Supplement'!J214)</f>
        <v>'[2025 ACEC-EFCG Key Financials Survey Form - BLANK (Unlocked).xlsx]CEO Supplement'!$J$214</v>
      </c>
      <c r="C687" s="8" t="str">
        <f ca="1">IF(INDIRECT(DB_Map[[#This Row],[Location]])&lt;&gt;"", INDIRECT(DB_Map[[#This Row],[Location]]), "")</f>
        <v/>
      </c>
    </row>
    <row r="688" spans="1:3" x14ac:dyDescent="0.25">
      <c r="A688" s="374">
        <v>1009</v>
      </c>
      <c r="B688" s="44" t="str">
        <f ca="1">CELL("address", 'CEO Supplement'!M214)</f>
        <v>'[2025 ACEC-EFCG Key Financials Survey Form - BLANK (Unlocked).xlsx]CEO Supplement'!$M$214</v>
      </c>
      <c r="C688" s="8" t="str">
        <f ca="1">IF(INDIRECT(DB_Map[[#This Row],[Location]])&lt;&gt;"", INDIRECT(DB_Map[[#This Row],[Location]]), "")</f>
        <v/>
      </c>
    </row>
    <row r="689" spans="1:3" x14ac:dyDescent="0.25">
      <c r="A689" s="374">
        <v>1010</v>
      </c>
      <c r="B689" s="44" t="str">
        <f ca="1">CELL("address", 'CEO Supplement'!L69:M69)</f>
        <v>'[2025 ACEC-EFCG Key Financials Survey Form - BLANK (Unlocked).xlsx]CEO Supplement'!$L$69</v>
      </c>
      <c r="C689" s="8" t="str">
        <f ca="1">IF(INDIRECT(DB_Map[[#This Row],[Location]])&lt;&gt;"", INDIRECT(DB_Map[[#This Row],[Location]]), "")</f>
        <v/>
      </c>
    </row>
    <row r="690" spans="1:3" x14ac:dyDescent="0.25">
      <c r="A690" s="374">
        <v>1011</v>
      </c>
      <c r="B690" s="44" t="str">
        <f ca="1">CELL("address", 'CEO Supplement'!K71:M71)</f>
        <v>'[2025 ACEC-EFCG Key Financials Survey Form - BLANK (Unlocked).xlsx]CEO Supplement'!$K$71</v>
      </c>
      <c r="C690" s="8" t="str">
        <f ca="1">IF(INDIRECT(DB_Map[[#This Row],[Location]])&lt;&gt;"", INDIRECT(DB_Map[[#This Row],[Location]]), "")</f>
        <v/>
      </c>
    </row>
    <row r="691" spans="1:3" x14ac:dyDescent="0.25">
      <c r="A691" s="374">
        <v>1012</v>
      </c>
      <c r="B691" s="44" t="str">
        <f ca="1">CELL("address", 'Ownership, Governance, Talent'!M122)</f>
        <v>'[2025 ACEC-EFCG Key Financials Survey Form - BLANK (Unlocked).xlsx]Ownership, Governance, Talent'!$M$122</v>
      </c>
      <c r="C691" s="8" t="str">
        <f ca="1">IF(INDIRECT(DB_Map[[#This Row],[Location]])&lt;&gt;"", INDIRECT(DB_Map[[#This Row],[Location]]), "")</f>
        <v/>
      </c>
    </row>
    <row r="692" spans="1:3" x14ac:dyDescent="0.25">
      <c r="A692" s="374">
        <v>1013</v>
      </c>
      <c r="B692" s="44" t="str">
        <f ca="1">CELL("address", 'Ownership, Governance, Talent'!I124:M124)</f>
        <v>'[2025 ACEC-EFCG Key Financials Survey Form - BLANK (Unlocked).xlsx]Ownership, Governance, Talent'!$I$124</v>
      </c>
      <c r="C692" s="8" t="str">
        <f ca="1">IF(INDIRECT(DB_Map[[#This Row],[Location]])&lt;&gt;"", INDIRECT(DB_Map[[#This Row],[Location]]), "")</f>
        <v/>
      </c>
    </row>
    <row r="693" spans="1:3" x14ac:dyDescent="0.25">
      <c r="A693" s="374">
        <v>1014</v>
      </c>
      <c r="B693" s="44" t="str">
        <f ca="1">CELL("address", 'Ownership, Governance, Talent'!H128)</f>
        <v>'[2025 ACEC-EFCG Key Financials Survey Form - BLANK (Unlocked).xlsx]Ownership, Governance, Talent'!$H$128</v>
      </c>
      <c r="C693" s="8" t="str">
        <f ca="1">IF(INDIRECT(DB_Map[[#This Row],[Location]])="Yes", TRUE, IF(INDIRECT(DB_Map[[#This Row],[Location]])="No", FALSE, ""))</f>
        <v/>
      </c>
    </row>
    <row r="694" spans="1:3" x14ac:dyDescent="0.25">
      <c r="A694" s="374">
        <v>1015</v>
      </c>
      <c r="B694" s="44" t="str">
        <f ca="1">CELL("address", 'Ownership, Governance, Talent'!H130)</f>
        <v>'[2025 ACEC-EFCG Key Financials Survey Form - BLANK (Unlocked).xlsx]Ownership, Governance, Talent'!$H$130</v>
      </c>
      <c r="C694" s="8" t="str">
        <f ca="1">IF(INDIRECT(DB_Map[[#This Row],[Location]])="Yes", TRUE, IF(INDIRECT(DB_Map[[#This Row],[Location]])="No", FALSE, ""))</f>
        <v/>
      </c>
    </row>
    <row r="695" spans="1:3" x14ac:dyDescent="0.25">
      <c r="A695" s="374">
        <v>1016</v>
      </c>
      <c r="B695" s="44" t="str">
        <f ca="1">CELL("address", 'Ownership, Governance, Talent'!M128)</f>
        <v>'[2025 ACEC-EFCG Key Financials Survey Form - BLANK (Unlocked).xlsx]Ownership, Governance, Talent'!$M$128</v>
      </c>
      <c r="C695" s="8" t="str">
        <f ca="1">IF(INDIRECT(DB_Map[[#This Row],[Location]])="Yes", TRUE, IF(INDIRECT(DB_Map[[#This Row],[Location]])="No", FALSE, ""))</f>
        <v/>
      </c>
    </row>
    <row r="696" spans="1:3" x14ac:dyDescent="0.25">
      <c r="A696" s="374">
        <v>1017</v>
      </c>
      <c r="B696" s="44" t="str">
        <f ca="1">CELL("address", 'Ownership, Governance, Talent'!H132)</f>
        <v>'[2025 ACEC-EFCG Key Financials Survey Form - BLANK (Unlocked).xlsx]Ownership, Governance, Talent'!$H$132</v>
      </c>
      <c r="C696" s="8" t="str">
        <f ca="1">IF(INDIRECT(DB_Map[[#This Row],[Location]])="Yes", TRUE, IF(INDIRECT(DB_Map[[#This Row],[Location]])="No", FALSE, ""))</f>
        <v/>
      </c>
    </row>
    <row r="697" spans="1:3" x14ac:dyDescent="0.25">
      <c r="A697" s="374">
        <v>1018</v>
      </c>
      <c r="B697" s="44" t="str">
        <f ca="1">CELL("address", 'Ownership, Governance, Talent'!M130)</f>
        <v>'[2025 ACEC-EFCG Key Financials Survey Form - BLANK (Unlocked).xlsx]Ownership, Governance, Talent'!$M$130</v>
      </c>
      <c r="C697" s="8" t="str">
        <f ca="1">IF(INDIRECT(DB_Map[[#This Row],[Location]])="Yes", TRUE, IF(INDIRECT(DB_Map[[#This Row],[Location]])="No", FALSE, ""))</f>
        <v/>
      </c>
    </row>
    <row r="698" spans="1:3" x14ac:dyDescent="0.25">
      <c r="A698" s="374">
        <v>1019</v>
      </c>
      <c r="B698" s="44" t="str">
        <f ca="1">CELL("address", 'Ownership, Governance, Talent'!M132)</f>
        <v>'[2025 ACEC-EFCG Key Financials Survey Form - BLANK (Unlocked).xlsx]Ownership, Governance, Talent'!$M$132</v>
      </c>
      <c r="C698" s="8" t="str">
        <f ca="1">IF(INDIRECT(DB_Map[[#This Row],[Location]])&lt;&gt;"", INDIRECT(DB_Map[[#This Row],[Location]]), "")</f>
        <v/>
      </c>
    </row>
    <row r="699" spans="1:3" x14ac:dyDescent="0.25">
      <c r="A699" s="374">
        <v>1020</v>
      </c>
      <c r="B699" s="44" t="str">
        <f ca="1">CELL("address", 'Revenue Details'!G156)</f>
        <v>'[2025 ACEC-EFCG Key Financials Survey Form - BLANK (Unlocked).xlsx]Revenue Details'!$G$156</v>
      </c>
      <c r="C699" s="8" t="str">
        <f ca="1">IF(INDIRECT(DB_Map[[#This Row],[Location]])&lt;&gt;"", INDIRECT(DB_Map[[#This Row],[Location]]), "")</f>
        <v/>
      </c>
    </row>
    <row r="700" spans="1:3" x14ac:dyDescent="0.25">
      <c r="A700" s="374">
        <v>1021</v>
      </c>
      <c r="B700" s="44" t="str">
        <f ca="1">CELL("address", 'Revenue Details'!H158)</f>
        <v>'[2025 ACEC-EFCG Key Financials Survey Form - BLANK (Unlocked).xlsx]Revenue Details'!$H$158</v>
      </c>
      <c r="C700" s="8" t="str">
        <f ca="1">IF(INDIRECT(DB_Map[[#This Row],[Location]])&lt;&gt;"", INDIRECT(DB_Map[[#This Row],[Location]]), "")</f>
        <v/>
      </c>
    </row>
    <row r="701" spans="1:3" x14ac:dyDescent="0.25">
      <c r="A701" s="374">
        <v>1022</v>
      </c>
      <c r="B701" s="44" t="str">
        <f ca="1">CELL("address", 'Revenue Details'!I146:J146)</f>
        <v>'[2025 ACEC-EFCG Key Financials Survey Form - BLANK (Unlocked).xlsx]Revenue Details'!$I$146</v>
      </c>
      <c r="C701" s="8" t="str">
        <f ca="1">IF(INDIRECT(DB_Map[[#This Row],[Location]])&lt;&gt;"", INDIRECT(DB_Map[[#This Row],[Location]]), "")</f>
        <v/>
      </c>
    </row>
    <row r="702" spans="1:3" x14ac:dyDescent="0.25">
      <c r="A702" s="374">
        <v>1023</v>
      </c>
      <c r="B702" s="44" t="str">
        <f ca="1">CELL("address", 'CEO Supplement'!J216)</f>
        <v>'[2025 ACEC-EFCG Key Financials Survey Form - BLANK (Unlocked).xlsx]CEO Supplement'!$J$216</v>
      </c>
      <c r="C702" s="8" t="str">
        <f ca="1">IF(INDIRECT(DB_Map[[#This Row],[Location]])&lt;&gt;"", INDIRECT(DB_Map[[#This Row],[Location]]), "")</f>
        <v/>
      </c>
    </row>
    <row r="703" spans="1:3" x14ac:dyDescent="0.25">
      <c r="A703" s="374">
        <v>1024</v>
      </c>
      <c r="B703" s="44" t="str">
        <f ca="1">CELL("address", 'CEO Supplement'!H218)</f>
        <v>'[2025 ACEC-EFCG Key Financials Survey Form - BLANK (Unlocked).xlsx]CEO Supplement'!$H$218</v>
      </c>
      <c r="C703" s="8" t="str">
        <f ca="1">IF(INDIRECT(DB_Map[[#This Row],[Location]])&lt;&gt;"", INDIRECT(DB_Map[[#This Row],[Location]]), "")</f>
        <v/>
      </c>
    </row>
    <row r="704" spans="1:3" x14ac:dyDescent="0.25">
      <c r="A704" s="374">
        <v>1025</v>
      </c>
      <c r="B704" s="44" t="str">
        <f ca="1">CELL("address", 'Revenue Details'!I214)</f>
        <v>'[2025 ACEC-EFCG Key Financials Survey Form - BLANK (Unlocked).xlsx]Revenue Details'!$I$214</v>
      </c>
      <c r="C704" s="8" t="str">
        <f ca="1">IF(INDIRECT(DB_Map[[#This Row],[Location]])&lt;&gt;"", INDIRECT(DB_Map[[#This Row],[Location]]), "")</f>
        <v/>
      </c>
    </row>
    <row r="705" spans="1:3" x14ac:dyDescent="0.25">
      <c r="A705" s="374">
        <v>1026</v>
      </c>
      <c r="B705" s="44" t="str">
        <f ca="1">CELL("address", 'Revenue Details'!J216)</f>
        <v>'[2025 ACEC-EFCG Key Financials Survey Form - BLANK (Unlocked).xlsx]Revenue Details'!$J$216</v>
      </c>
      <c r="C705" s="8" t="str">
        <f ca="1">IF(INDIRECT(DB_Map[[#This Row],[Location]])&lt;&gt;"", INDIRECT(DB_Map[[#This Row],[Location]]), "")</f>
        <v/>
      </c>
    </row>
    <row r="706" spans="1:3" x14ac:dyDescent="0.25">
      <c r="A706" s="374">
        <v>1027</v>
      </c>
      <c r="B706" s="44" t="str">
        <f ca="1">CELL("address", 'Revenue Details'!J218)</f>
        <v>'[2025 ACEC-EFCG Key Financials Survey Form - BLANK (Unlocked).xlsx]Revenue Details'!$J$218</v>
      </c>
      <c r="C706" s="8" t="str">
        <f ca="1">IF(INDIRECT(DB_Map[[#This Row],[Location]])&lt;&gt;"", INDIRECT(DB_Map[[#This Row],[Location]]), "")</f>
        <v/>
      </c>
    </row>
    <row r="707" spans="1:3" x14ac:dyDescent="0.25">
      <c r="A707" s="374">
        <v>1028</v>
      </c>
      <c r="B707" s="44" t="str">
        <f ca="1">CELL("address", 'Revenue Details'!G220)</f>
        <v>'[2025 ACEC-EFCG Key Financials Survey Form - BLANK (Unlocked).xlsx]Revenue Details'!$G$220</v>
      </c>
      <c r="C707" s="8" t="str">
        <f ca="1">IF(INDIRECT(DB_Map[[#This Row],[Location]])&lt;&gt;"", INDIRECT(DB_Map[[#This Row],[Location]]), "")</f>
        <v/>
      </c>
    </row>
    <row r="708" spans="1:3" x14ac:dyDescent="0.25">
      <c r="A708" s="374">
        <v>1029</v>
      </c>
      <c r="B708" s="44" t="str">
        <f ca="1">CELL("address", 'CEO Supplement'!G43)</f>
        <v>'[2025 ACEC-EFCG Key Financials Survey Form - BLANK (Unlocked).xlsx]CEO Supplement'!$G$43</v>
      </c>
      <c r="C708" s="8" t="str">
        <f ca="1">IF(INDIRECT(DB_Map[[#This Row],[Location]])&lt;&gt;"", INDIRECT(DB_Map[[#This Row],[Location]]), "")</f>
        <v/>
      </c>
    </row>
    <row r="709" spans="1:3" x14ac:dyDescent="0.25">
      <c r="A709" s="374">
        <v>1030</v>
      </c>
      <c r="B709" s="44" t="str">
        <f ca="1">CELL("address", 'CEO Supplement'!J43)</f>
        <v>'[2025 ACEC-EFCG Key Financials Survey Form - BLANK (Unlocked).xlsx]CEO Supplement'!$J$43</v>
      </c>
      <c r="C709" s="8" t="str">
        <f ca="1">IF(INDIRECT(DB_Map[[#This Row],[Location]])&lt;&gt;"", INDIRECT(DB_Map[[#This Row],[Location]]), "")</f>
        <v/>
      </c>
    </row>
    <row r="710" spans="1:3" x14ac:dyDescent="0.25">
      <c r="A710" s="374">
        <v>1031</v>
      </c>
      <c r="B710" s="44" t="str">
        <f ca="1">CELL("address", 'CEO Supplement'!M43)</f>
        <v>'[2025 ACEC-EFCG Key Financials Survey Form - BLANK (Unlocked).xlsx]CEO Supplement'!$M$43</v>
      </c>
      <c r="C710" s="8" t="str">
        <f ca="1">IF(INDIRECT(DB_Map[[#This Row],[Location]])&lt;&gt;"", INDIRECT(DB_Map[[#This Row],[Location]]), "")</f>
        <v/>
      </c>
    </row>
    <row r="711" spans="1:3" x14ac:dyDescent="0.25">
      <c r="A711" s="374">
        <v>1032</v>
      </c>
      <c r="B711" s="44" t="str">
        <f ca="1">CELL("address", 'CEO Supplement'!L61:M61)</f>
        <v>'[2025 ACEC-EFCG Key Financials Survey Form - BLANK (Unlocked).xlsx]CEO Supplement'!$L$61</v>
      </c>
      <c r="C711" s="8" t="str">
        <f ca="1">IF(INDIRECT(DB_Map[[#This Row],[Location]])&lt;&gt;"", INDIRECT(DB_Map[[#This Row],[Location]]), "")</f>
        <v/>
      </c>
    </row>
    <row r="712" spans="1:3" x14ac:dyDescent="0.25">
      <c r="A712" s="374">
        <v>1033</v>
      </c>
      <c r="B712" s="44" t="str">
        <f ca="1">CELL("address", 'CEO Supplement'!M63)</f>
        <v>'[2025 ACEC-EFCG Key Financials Survey Form - BLANK (Unlocked).xlsx]CEO Supplement'!$M$63</v>
      </c>
      <c r="C712" s="8" t="str">
        <f ca="1">IF(INDIRECT(DB_Map[[#This Row],[Location]])&lt;&gt;"", INDIRECT(DB_Map[[#This Row],[Location]]), "")</f>
        <v/>
      </c>
    </row>
    <row r="713" spans="1:3" x14ac:dyDescent="0.25">
      <c r="A713" s="374">
        <v>1034</v>
      </c>
      <c r="B713" s="44" t="str">
        <f ca="1">CELL("address", 'CEO Supplement'!M65)</f>
        <v>'[2025 ACEC-EFCG Key Financials Survey Form - BLANK (Unlocked).xlsx]CEO Supplement'!$M$65</v>
      </c>
      <c r="C713" s="8" t="str">
        <f ca="1">IF(INDIRECT(DB_Map[[#This Row],[Location]])&lt;&gt;"", INDIRECT(DB_Map[[#This Row],[Location]]), "")</f>
        <v/>
      </c>
    </row>
    <row r="714" spans="1:3" x14ac:dyDescent="0.25">
      <c r="A714" s="374">
        <v>1035</v>
      </c>
      <c r="B714" s="44" t="str">
        <f ca="1">CELL("address", 'Revenue Details'!K190:L190)</f>
        <v>'[2025 ACEC-EFCG Key Financials Survey Form - BLANK (Unlocked).xlsx]Revenue Details'!$K$190</v>
      </c>
      <c r="C714" s="8" t="str">
        <f ca="1">IF(INDIRECT(DB_Map[[#This Row],[Location]])&lt;&gt;"", INDIRECT(DB_Map[[#This Row],[Location]]), "")</f>
        <v/>
      </c>
    </row>
    <row r="715" spans="1:3" x14ac:dyDescent="0.25">
      <c r="A715" s="374">
        <v>1036</v>
      </c>
      <c r="B715" s="44" t="str">
        <f ca="1">CELL("address", 'Revenue Details'!J192:K192)</f>
        <v>'[2025 ACEC-EFCG Key Financials Survey Form - BLANK (Unlocked).xlsx]Revenue Details'!$J$192</v>
      </c>
      <c r="C715" s="8" t="str">
        <f ca="1">IF(INDIRECT(DB_Map[[#This Row],[Location]])&lt;&gt;"", INDIRECT(DB_Map[[#This Row],[Location]]), "")</f>
        <v/>
      </c>
    </row>
    <row r="716" spans="1:3" x14ac:dyDescent="0.25">
      <c r="A716" s="374">
        <v>1037</v>
      </c>
      <c r="B716" s="44" t="str">
        <f ca="1">CELL("address", 'Revenue Details'!G196)</f>
        <v>'[2025 ACEC-EFCG Key Financials Survey Form - BLANK (Unlocked).xlsx]Revenue Details'!$G$196</v>
      </c>
      <c r="C716" s="8" t="str">
        <f ca="1">IF(INDIRECT(DB_Map[[#This Row],[Location]])="Yes", TRUE, IF(INDIRECT(DB_Map[[#This Row],[Location]])="No", FALSE, ""))</f>
        <v/>
      </c>
    </row>
    <row r="717" spans="1:3" x14ac:dyDescent="0.25">
      <c r="A717" s="374">
        <v>1038</v>
      </c>
      <c r="B717" s="44" t="str">
        <f ca="1">CELL("address", 'Revenue Details'!L196)</f>
        <v>'[2025 ACEC-EFCG Key Financials Survey Form - BLANK (Unlocked).xlsx]Revenue Details'!$L$196</v>
      </c>
      <c r="C717" s="8" t="str">
        <f ca="1">IF(INDIRECT(DB_Map[[#This Row],[Location]])="Yes", TRUE, IF(INDIRECT(DB_Map[[#This Row],[Location]])="No", FALSE, ""))</f>
        <v/>
      </c>
    </row>
    <row r="718" spans="1:3" x14ac:dyDescent="0.25">
      <c r="A718" s="374">
        <v>1039</v>
      </c>
      <c r="B718" s="44" t="str">
        <f ca="1">CELL("address", 'Revenue Details'!G198)</f>
        <v>'[2025 ACEC-EFCG Key Financials Survey Form - BLANK (Unlocked).xlsx]Revenue Details'!$G$198</v>
      </c>
      <c r="C718" s="8" t="str">
        <f ca="1">IF(INDIRECT(DB_Map[[#This Row],[Location]])="Yes", TRUE, IF(INDIRECT(DB_Map[[#This Row],[Location]])="No", FALSE, ""))</f>
        <v/>
      </c>
    </row>
    <row r="719" spans="1:3" x14ac:dyDescent="0.25">
      <c r="A719" s="374">
        <v>1040</v>
      </c>
      <c r="B719" s="44" t="str">
        <f ca="1">CELL("address", 'Revenue Details'!L198)</f>
        <v>'[2025 ACEC-EFCG Key Financials Survey Form - BLANK (Unlocked).xlsx]Revenue Details'!$L$198</v>
      </c>
      <c r="C719" s="8" t="str">
        <f ca="1">IF(INDIRECT(DB_Map[[#This Row],[Location]])="Yes", TRUE, IF(INDIRECT(DB_Map[[#This Row],[Location]])="No", FALSE, ""))</f>
        <v/>
      </c>
    </row>
    <row r="720" spans="1:3" x14ac:dyDescent="0.25">
      <c r="A720" s="374">
        <v>1041</v>
      </c>
      <c r="B720" s="44" t="str">
        <f ca="1">CELL("address", 'Revenue Details'!G200)</f>
        <v>'[2025 ACEC-EFCG Key Financials Survey Form - BLANK (Unlocked).xlsx]Revenue Details'!$G$200</v>
      </c>
      <c r="C720" s="8" t="str">
        <f ca="1">IF(INDIRECT(DB_Map[[#This Row],[Location]])="Yes", TRUE, IF(INDIRECT(DB_Map[[#This Row],[Location]])="No", FALSE, ""))</f>
        <v/>
      </c>
    </row>
    <row r="721" spans="1:3" x14ac:dyDescent="0.25">
      <c r="A721" s="374">
        <v>1042</v>
      </c>
      <c r="B721" s="44" t="str">
        <f ca="1">CELL("address", 'Revenue Details'!L200)</f>
        <v>'[2025 ACEC-EFCG Key Financials Survey Form - BLANK (Unlocked).xlsx]Revenue Details'!$L$200</v>
      </c>
      <c r="C721" s="8" t="str">
        <f ca="1">IF(INDIRECT(DB_Map[[#This Row],[Location]])="Yes", TRUE, IF(INDIRECT(DB_Map[[#This Row],[Location]])="No", FALSE, ""))</f>
        <v/>
      </c>
    </row>
    <row r="722" spans="1:3" x14ac:dyDescent="0.25">
      <c r="A722" s="374">
        <v>1043</v>
      </c>
      <c r="B722" s="44" t="str">
        <f ca="1">CELL("address", 'Revenue Details'!G202:I202)</f>
        <v>'[2025 ACEC-EFCG Key Financials Survey Form - BLANK (Unlocked).xlsx]Revenue Details'!$G$202</v>
      </c>
      <c r="C722" s="8" t="str">
        <f ca="1">IF(INDIRECT(DB_Map[[#This Row],[Location]])&lt;&gt;"", INDIRECT(DB_Map[[#This Row],[Location]]), "")</f>
        <v/>
      </c>
    </row>
    <row r="723" spans="1:3" x14ac:dyDescent="0.25">
      <c r="A723" s="374">
        <v>1044</v>
      </c>
      <c r="B723" s="44" t="str">
        <f ca="1">CELL("address", 'Revenue Details'!L186:M186)</f>
        <v>'[2025 ACEC-EFCG Key Financials Survey Form - BLANK (Unlocked).xlsx]Revenue Details'!$L$186</v>
      </c>
      <c r="C723" s="8" t="str">
        <f ca="1">IF(INDIRECT(DB_Map[[#This Row],[Location]])&lt;&gt;"", INDIRECT(DB_Map[[#This Row],[Location]]), "")</f>
        <v/>
      </c>
    </row>
    <row r="724" spans="1:3" x14ac:dyDescent="0.25">
      <c r="A724" s="374">
        <v>861</v>
      </c>
      <c r="B724" s="44" t="str">
        <f ca="1">CELL("address", 'Revenue Details'!G182)</f>
        <v>'[2025 ACEC-EFCG Key Financials Survey Form - BLANK (Unlocked).xlsx]Revenue Details'!$G$182</v>
      </c>
      <c r="C724" s="8" t="str">
        <f ca="1">IF(INDIRECT(DB_Map[[#This Row],[Location]])&lt;&gt;"", INDIRECT(DB_Map[[#This Row],[Location]]), "")</f>
        <v/>
      </c>
    </row>
    <row r="725" spans="1:3" x14ac:dyDescent="0.25">
      <c r="A725" s="374">
        <v>862</v>
      </c>
      <c r="B725" s="44" t="str">
        <f ca="1">CELL("address", 'Revenue Details'!L182)</f>
        <v>'[2025 ACEC-EFCG Key Financials Survey Form - BLANK (Unlocked).xlsx]Revenue Details'!$L$182</v>
      </c>
      <c r="C725" s="8" t="str">
        <f ca="1">IF(INDIRECT(DB_Map[[#This Row],[Location]])&lt;&gt;"", INDIRECT(DB_Map[[#This Row],[Location]]), "")</f>
        <v/>
      </c>
    </row>
    <row r="726" spans="1:3" x14ac:dyDescent="0.25">
      <c r="A726" s="374">
        <v>863</v>
      </c>
      <c r="B726" s="44" t="str">
        <f ca="1">CELL("address", 'Revenue Details'!G184)</f>
        <v>'[2025 ACEC-EFCG Key Financials Survey Form - BLANK (Unlocked).xlsx]Revenue Details'!$G$184</v>
      </c>
      <c r="C726" s="8" t="str">
        <f ca="1">IF(INDIRECT(DB_Map[[#This Row],[Location]])&lt;&gt;"", INDIRECT(DB_Map[[#This Row],[Location]]), "")</f>
        <v/>
      </c>
    </row>
    <row r="727" spans="1:3" x14ac:dyDescent="0.25">
      <c r="A727" s="374">
        <v>864</v>
      </c>
      <c r="B727" s="44" t="str">
        <f ca="1">CELL("address", 'Revenue Details'!L184)</f>
        <v>'[2025 ACEC-EFCG Key Financials Survey Form - BLANK (Unlocked).xlsx]Revenue Details'!$L$184</v>
      </c>
      <c r="C727" s="8" t="str">
        <f ca="1">IF(INDIRECT(DB_Map[[#This Row],[Location]])&lt;&gt;"", INDIRECT(DB_Map[[#This Row],[Location]]), "")</f>
        <v/>
      </c>
    </row>
    <row r="728" spans="1:3" x14ac:dyDescent="0.25">
      <c r="A728" s="374">
        <v>865</v>
      </c>
      <c r="B728" s="44" t="str">
        <f ca="1">CELL("address", 'Revenue Details'!G186)</f>
        <v>'[2025 ACEC-EFCG Key Financials Survey Form - BLANK (Unlocked).xlsx]Revenue Details'!$G$186</v>
      </c>
      <c r="C728" s="8" t="str">
        <f ca="1">IF(INDIRECT(DB_Map[[#This Row],[Location]])&lt;&gt;"", INDIRECT(DB_Map[[#This Row],[Location]]), "")</f>
        <v/>
      </c>
    </row>
    <row r="729" spans="1:3" x14ac:dyDescent="0.25">
      <c r="A729" s="374">
        <v>848</v>
      </c>
      <c r="B729" s="44" t="str">
        <f ca="1">CELL("address", 'Revenue Details'!H178)</f>
        <v>'[2025 ACEC-EFCG Key Financials Survey Form - BLANK (Unlocked).xlsx]Revenue Details'!$H$178</v>
      </c>
      <c r="C729" s="8" t="str">
        <f ca="1">IF(INDIRECT(DB_Map[[#This Row],[Location]])&lt;&gt;"", INDIRECT(DB_Map[[#This Row],[Location]]), "")</f>
        <v/>
      </c>
    </row>
    <row r="730" spans="1:3" x14ac:dyDescent="0.25">
      <c r="A730" s="374">
        <v>1045</v>
      </c>
      <c r="B730" s="44" t="str">
        <f ca="1">CELL("address", 'CapEx, M&amp;A'!G167)</f>
        <v>'[2025 ACEC-EFCG Key Financials Survey Form - BLANK (Unlocked).xlsx]CapEx, M&amp;A'!$G$167</v>
      </c>
      <c r="C730" s="8" t="str">
        <f ca="1">IF(INDIRECT(DB_Map[[#This Row],[Location]])="Yes", TRUE, IF(INDIRECT(DB_Map[[#This Row],[Location]])="No", FALSE, ""))</f>
        <v/>
      </c>
    </row>
    <row r="731" spans="1:3" x14ac:dyDescent="0.25">
      <c r="A731" s="374">
        <v>1046</v>
      </c>
      <c r="B731" s="44" t="str">
        <f ca="1">CELL("address", 'CapEx, M&amp;A'!M167)</f>
        <v>'[2025 ACEC-EFCG Key Financials Survey Form - BLANK (Unlocked).xlsx]CapEx, M&amp;A'!$M$167</v>
      </c>
      <c r="C731" s="8" t="str">
        <f ca="1">IF(INDIRECT(DB_Map[[#This Row],[Location]])&lt;&gt;"", INDIRECT(DB_Map[[#This Row],[Location]]), "")</f>
        <v/>
      </c>
    </row>
    <row r="732" spans="1:3" x14ac:dyDescent="0.25"/>
    <row r="733" spans="1:3" x14ac:dyDescent="0.25"/>
    <row r="734" spans="1:3" x14ac:dyDescent="0.25"/>
    <row r="735" spans="1:3" x14ac:dyDescent="0.25"/>
    <row r="736" spans="1:3"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72" x14ac:dyDescent="0.25"/>
    <row r="1173" x14ac:dyDescent="0.25"/>
    <row r="1174" x14ac:dyDescent="0.25"/>
    <row r="1176" x14ac:dyDescent="0.25"/>
    <row r="1242" x14ac:dyDescent="0.25"/>
    <row r="1258" x14ac:dyDescent="0.25"/>
    <row r="1259" x14ac:dyDescent="0.25"/>
    <row r="1260" x14ac:dyDescent="0.25"/>
    <row r="1270" x14ac:dyDescent="0.25"/>
    <row r="1271" x14ac:dyDescent="0.25"/>
    <row r="1272"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sheetData>
  <conditionalFormatting sqref="C41:C731">
    <cfRule type="expression" dxfId="0" priority="1">
      <formula>AND(ISBLANK(C41), NOT(_xlfn.ISFORMULA(C41)))</formula>
    </cfRule>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24DD-F823-4EC5-89C2-BBEEE8091D6E}">
  <sheetPr codeName="Sheet14">
    <tabColor theme="7" tint="0.59999389629810485"/>
  </sheetPr>
  <dimension ref="A1:F107"/>
  <sheetViews>
    <sheetView zoomScale="70" zoomScaleNormal="70" workbookViewId="0">
      <selection activeCell="C28" sqref="C28:C86"/>
    </sheetView>
  </sheetViews>
  <sheetFormatPr defaultRowHeight="15" x14ac:dyDescent="0.25"/>
  <cols>
    <col min="2" max="2" width="54.42578125" bestFit="1" customWidth="1"/>
    <col min="3" max="3" width="23.85546875" bestFit="1" customWidth="1"/>
    <col min="4" max="4" width="191" bestFit="1" customWidth="1"/>
    <col min="5" max="5" width="13.85546875" bestFit="1" customWidth="1"/>
    <col min="6" max="7" width="9.140625" bestFit="1" customWidth="1"/>
    <col min="8" max="8" width="33.42578125" bestFit="1" customWidth="1"/>
  </cols>
  <sheetData>
    <row r="1" spans="1:1" s="28" customFormat="1" x14ac:dyDescent="0.25">
      <c r="A1" s="25" t="str">
        <f ca="1">_xlfn.CONCAT(MID(CELL("filename"),SEARCH("[",CELL("filename"))+1, SEARCH("]",CELL("filename"))-SEARCH("[",CELL("filename"))-6), " - ", MID(CELL("filename",A1),FIND("]",CELL("filename",A1))+1,255))</f>
        <v>2025 ACEC-EFCG Key Financials Survey Form - BLANK (Unlocked) - Checks</v>
      </c>
    </row>
    <row r="3" spans="1:1" s="10" customFormat="1" x14ac:dyDescent="0.25">
      <c r="A3" s="15" t="s">
        <v>682</v>
      </c>
    </row>
    <row r="4" spans="1:1" x14ac:dyDescent="0.25">
      <c r="A4" t="s">
        <v>727</v>
      </c>
    </row>
    <row r="6" spans="1:1" x14ac:dyDescent="0.25">
      <c r="A6" t="s">
        <v>707</v>
      </c>
    </row>
    <row r="7" spans="1:1" x14ac:dyDescent="0.25">
      <c r="A7" s="13" t="s">
        <v>728</v>
      </c>
    </row>
    <row r="8" spans="1:1" x14ac:dyDescent="0.25">
      <c r="A8" s="13" t="s">
        <v>729</v>
      </c>
    </row>
    <row r="10" spans="1:1" s="10" customFormat="1" x14ac:dyDescent="0.25">
      <c r="A10" s="15" t="s">
        <v>461</v>
      </c>
    </row>
    <row r="12" spans="1:1" s="12" customFormat="1" x14ac:dyDescent="0.25">
      <c r="A12" s="12" t="s">
        <v>693</v>
      </c>
    </row>
    <row r="13" spans="1:1" x14ac:dyDescent="0.25">
      <c r="A13" t="s">
        <v>730</v>
      </c>
    </row>
    <row r="14" spans="1:1" x14ac:dyDescent="0.25">
      <c r="A14" s="13" t="s">
        <v>731</v>
      </c>
    </row>
    <row r="15" spans="1:1" x14ac:dyDescent="0.25">
      <c r="A15" s="13" t="s">
        <v>732</v>
      </c>
    </row>
    <row r="16" spans="1:1" x14ac:dyDescent="0.25">
      <c r="A16" s="13" t="s">
        <v>733</v>
      </c>
    </row>
    <row r="18" spans="1:3" x14ac:dyDescent="0.25">
      <c r="A18" t="s">
        <v>700</v>
      </c>
    </row>
    <row r="20" spans="1:3" s="12" customFormat="1" x14ac:dyDescent="0.25">
      <c r="A20" s="12" t="s">
        <v>734</v>
      </c>
    </row>
    <row r="21" spans="1:3" x14ac:dyDescent="0.25">
      <c r="A21" t="s">
        <v>735</v>
      </c>
    </row>
    <row r="22" spans="1:3" x14ac:dyDescent="0.25">
      <c r="A22" s="13" t="s">
        <v>736</v>
      </c>
    </row>
    <row r="23" spans="1:3" x14ac:dyDescent="0.25">
      <c r="A23" s="13" t="s">
        <v>737</v>
      </c>
    </row>
    <row r="25" spans="1:3" s="17" customFormat="1" x14ac:dyDescent="0.25">
      <c r="A25" s="16" t="s">
        <v>695</v>
      </c>
    </row>
    <row r="27" spans="1:3" x14ac:dyDescent="0.25">
      <c r="A27" t="s">
        <v>59</v>
      </c>
      <c r="B27" t="s">
        <v>592</v>
      </c>
      <c r="C27" t="s">
        <v>202</v>
      </c>
    </row>
    <row r="28" spans="1:3" x14ac:dyDescent="0.25">
      <c r="A28" s="45">
        <v>-1</v>
      </c>
      <c r="B28" s="45" t="s">
        <v>206</v>
      </c>
      <c r="C28" s="46" t="b">
        <v>0</v>
      </c>
    </row>
    <row r="29" spans="1:3" x14ac:dyDescent="0.25">
      <c r="A29" s="45">
        <v>0</v>
      </c>
      <c r="B29" s="45" t="s">
        <v>206</v>
      </c>
      <c r="C29" s="45" t="e">
        <f>IF(CRUD_Firm&lt;&gt;"", CRUD_Firm=INDEX(DB_Map[Survey Form Value], MATCH(2, DB_Map[ID], 0)), TRUE)</f>
        <v>#REF!</v>
      </c>
    </row>
    <row r="30" spans="1:3" x14ac:dyDescent="0.25">
      <c r="A30">
        <v>1</v>
      </c>
      <c r="B30" t="str">
        <f ca="1">CELL("address", 'Key Financials'!P6)</f>
        <v>'[2025 ACEC-EFCG Key Financials Survey Form - BLANK (Unlocked).xlsx]Key Financials'!$P$6</v>
      </c>
      <c r="C30" s="8" t="b">
        <f ca="1">INDIRECT(ChecksTable[[#This Row],[Location]])="OK"</f>
        <v>0</v>
      </c>
    </row>
    <row r="31" spans="1:3" x14ac:dyDescent="0.25">
      <c r="A31">
        <v>2</v>
      </c>
      <c r="B31" t="str">
        <f ca="1">CELL("address", 'Key Financials'!P8)</f>
        <v>'[2025 ACEC-EFCG Key Financials Survey Form - BLANK (Unlocked).xlsx]Key Financials'!$P$8</v>
      </c>
      <c r="C31" s="8" t="b">
        <f ca="1">INDIRECT(ChecksTable[[#This Row],[Location]])="OK"</f>
        <v>0</v>
      </c>
    </row>
    <row r="32" spans="1:3" x14ac:dyDescent="0.25">
      <c r="A32">
        <v>3</v>
      </c>
      <c r="B32" t="str">
        <f ca="1">CELL("address", 'Key Financials'!P10)</f>
        <v>'[2025 ACEC-EFCG Key Financials Survey Form - BLANK (Unlocked).xlsx]Key Financials'!$P$10</v>
      </c>
      <c r="C32" s="8" t="b">
        <f ca="1">INDIRECT(ChecksTable[[#This Row],[Location]])="OK"</f>
        <v>0</v>
      </c>
    </row>
    <row r="33" spans="1:3" x14ac:dyDescent="0.25">
      <c r="A33">
        <v>4</v>
      </c>
      <c r="B33" t="str">
        <f ca="1">CELL("address", 'Key Financials'!P12)</f>
        <v>'[2025 ACEC-EFCG Key Financials Survey Form - BLANK (Unlocked).xlsx]Key Financials'!$P$12</v>
      </c>
      <c r="C33" s="8" t="b">
        <f ca="1">INDIRECT(ChecksTable[[#This Row],[Location]])="OK"</f>
        <v>0</v>
      </c>
    </row>
    <row r="34" spans="1:3" x14ac:dyDescent="0.25">
      <c r="A34">
        <v>5</v>
      </c>
      <c r="B34" t="str">
        <f ca="1">CELL("address", 'Key Financials'!P14)</f>
        <v>'[2025 ACEC-EFCG Key Financials Survey Form - BLANK (Unlocked).xlsx]Key Financials'!$P$14</v>
      </c>
      <c r="C34" s="8" t="b">
        <f ca="1">INDIRECT(ChecksTable[[#This Row],[Location]])="OK"</f>
        <v>0</v>
      </c>
    </row>
    <row r="35" spans="1:3" x14ac:dyDescent="0.25">
      <c r="A35">
        <v>6</v>
      </c>
      <c r="B35" t="str">
        <f ca="1">CELL("address", 'Key Financials'!P33)</f>
        <v>'[2025 ACEC-EFCG Key Financials Survey Form - BLANK (Unlocked).xlsx]Key Financials'!$P$33</v>
      </c>
      <c r="C35" s="8" t="b">
        <f ca="1">INDIRECT(ChecksTable[[#This Row],[Location]])="OK"</f>
        <v>1</v>
      </c>
    </row>
    <row r="36" spans="1:3" x14ac:dyDescent="0.25">
      <c r="A36">
        <v>7</v>
      </c>
      <c r="B36" t="str">
        <f ca="1">CELL("address", 'Key Financials'!P47)</f>
        <v>'[2025 ACEC-EFCG Key Financials Survey Form - BLANK (Unlocked).xlsx]Key Financials'!$P$47</v>
      </c>
      <c r="C36" s="8" t="b">
        <f ca="1">INDIRECT(ChecksTable[[#This Row],[Location]])="OK"</f>
        <v>1</v>
      </c>
    </row>
    <row r="37" spans="1:3" x14ac:dyDescent="0.25">
      <c r="A37">
        <v>8</v>
      </c>
      <c r="B37" t="str">
        <f ca="1">CELL("address", 'Key Financials'!P53)</f>
        <v>'[2025 ACEC-EFCG Key Financials Survey Form - BLANK (Unlocked).xlsx]Key Financials'!$P$53</v>
      </c>
      <c r="C37" s="8" t="b">
        <f ca="1">INDIRECT(ChecksTable[[#This Row],[Location]])="OK"</f>
        <v>1</v>
      </c>
    </row>
    <row r="38" spans="1:3" x14ac:dyDescent="0.25">
      <c r="A38">
        <v>9</v>
      </c>
      <c r="B38" t="str">
        <f ca="1">CELL("address", 'Key Financials'!P55)</f>
        <v>'[2025 ACEC-EFCG Key Financials Survey Form - BLANK (Unlocked).xlsx]Key Financials'!$P$55</v>
      </c>
      <c r="C38" s="8" t="b">
        <f ca="1">INDIRECT(ChecksTable[[#This Row],[Location]])="OK"</f>
        <v>1</v>
      </c>
    </row>
    <row r="39" spans="1:3" x14ac:dyDescent="0.25">
      <c r="A39">
        <v>10</v>
      </c>
      <c r="B39" t="str">
        <f ca="1">CELL("address", 'Key Financials'!P81)</f>
        <v>'[2025 ACEC-EFCG Key Financials Survey Form - BLANK (Unlocked).xlsx]Key Financials'!$P$81</v>
      </c>
      <c r="C39" s="8" t="b">
        <f ca="1">INDIRECT(ChecksTable[[#This Row],[Location]])="OK"</f>
        <v>1</v>
      </c>
    </row>
    <row r="40" spans="1:3" x14ac:dyDescent="0.25">
      <c r="A40">
        <v>11</v>
      </c>
      <c r="B40" t="str">
        <f ca="1">CELL("address", 'Key Financials'!P82)</f>
        <v>'[2025 ACEC-EFCG Key Financials Survey Form - BLANK (Unlocked).xlsx]Key Financials'!$P$82</v>
      </c>
      <c r="C40" s="8" t="b">
        <f ca="1">INDIRECT(ChecksTable[[#This Row],[Location]])="OK"</f>
        <v>1</v>
      </c>
    </row>
    <row r="41" spans="1:3" x14ac:dyDescent="0.25">
      <c r="A41">
        <v>15</v>
      </c>
      <c r="B41" t="str">
        <f ca="1">CELL("address", 'Key Financials'!P90)</f>
        <v>'[2025 ACEC-EFCG Key Financials Survey Form - BLANK (Unlocked).xlsx]Key Financials'!$P$90</v>
      </c>
      <c r="C41" s="8" t="b">
        <f ca="1">INDIRECT(ChecksTable[[#This Row],[Location]])="OK"</f>
        <v>1</v>
      </c>
    </row>
    <row r="42" spans="1:3" x14ac:dyDescent="0.25">
      <c r="A42">
        <v>17</v>
      </c>
      <c r="B42" t="str">
        <f ca="1">CELL("address", Overhead!P34)</f>
        <v>'[2025 ACEC-EFCG Key Financials Survey Form - BLANK (Unlocked).xlsx]Overhead'!$P$34</v>
      </c>
      <c r="C42" s="8" t="b">
        <f ca="1">INDIRECT(ChecksTable[[#This Row],[Location]])="OK"</f>
        <v>1</v>
      </c>
    </row>
    <row r="43" spans="1:3" x14ac:dyDescent="0.25">
      <c r="A43">
        <v>18</v>
      </c>
      <c r="B43" t="str">
        <f ca="1">CELL("address", Overhead!P36)</f>
        <v>'[2025 ACEC-EFCG Key Financials Survey Form - BLANK (Unlocked).xlsx]Overhead'!$P$36</v>
      </c>
      <c r="C43" s="8" t="b">
        <f ca="1">INDIRECT(ChecksTable[[#This Row],[Location]])="OK"</f>
        <v>1</v>
      </c>
    </row>
    <row r="44" spans="1:3" x14ac:dyDescent="0.25">
      <c r="A44">
        <v>19</v>
      </c>
      <c r="B44" t="str">
        <f ca="1">CELL("address", Overhead!P38)</f>
        <v>'[2025 ACEC-EFCG Key Financials Survey Form - BLANK (Unlocked).xlsx]Overhead'!$P$38</v>
      </c>
      <c r="C44" s="8" t="b">
        <f ca="1">INDIRECT(ChecksTable[[#This Row],[Location]])="OK"</f>
        <v>1</v>
      </c>
    </row>
    <row r="45" spans="1:3" x14ac:dyDescent="0.25">
      <c r="A45">
        <v>20</v>
      </c>
      <c r="B45" t="str">
        <f ca="1">CELL("address", Overhead!P40)</f>
        <v>'[2025 ACEC-EFCG Key Financials Survey Form - BLANK (Unlocked).xlsx]Overhead'!$P$40</v>
      </c>
      <c r="C45" s="8" t="b">
        <f ca="1">INDIRECT(ChecksTable[[#This Row],[Location]])="OK"</f>
        <v>1</v>
      </c>
    </row>
    <row r="46" spans="1:3" x14ac:dyDescent="0.25">
      <c r="A46">
        <v>21</v>
      </c>
      <c r="B46" t="str">
        <f ca="1">CELL("address", Overhead!P42)</f>
        <v>'[2025 ACEC-EFCG Key Financials Survey Form - BLANK (Unlocked).xlsx]Overhead'!$P$42</v>
      </c>
      <c r="C46" s="8" t="b">
        <f ca="1">INDIRECT(ChecksTable[[#This Row],[Location]])="OK"</f>
        <v>1</v>
      </c>
    </row>
    <row r="47" spans="1:3" x14ac:dyDescent="0.25">
      <c r="A47">
        <v>22</v>
      </c>
      <c r="B47" t="str">
        <f ca="1">CELL("address", Overhead!P44)</f>
        <v>'[2025 ACEC-EFCG Key Financials Survey Form - BLANK (Unlocked).xlsx]Overhead'!$P$44</v>
      </c>
      <c r="C47" s="8" t="b">
        <f ca="1">INDIRECT(ChecksTable[[#This Row],[Location]])="OK"</f>
        <v>1</v>
      </c>
    </row>
    <row r="48" spans="1:3" x14ac:dyDescent="0.25">
      <c r="A48">
        <v>23</v>
      </c>
      <c r="B48" t="str">
        <f ca="1">CELL("address", Overhead!P46)</f>
        <v>'[2025 ACEC-EFCG Key Financials Survey Form - BLANK (Unlocked).xlsx]Overhead'!$P$46</v>
      </c>
      <c r="C48" s="8" t="b">
        <f ca="1">INDIRECT(ChecksTable[[#This Row],[Location]])="OK"</f>
        <v>1</v>
      </c>
    </row>
    <row r="49" spans="1:3" x14ac:dyDescent="0.25">
      <c r="A49">
        <v>24</v>
      </c>
      <c r="B49" t="str">
        <f ca="1">CELL("address", Overhead!P48)</f>
        <v>'[2025 ACEC-EFCG Key Financials Survey Form - BLANK (Unlocked).xlsx]Overhead'!$P$48</v>
      </c>
      <c r="C49" s="8" t="b">
        <f ca="1">INDIRECT(ChecksTable[[#This Row],[Location]])="OK"</f>
        <v>1</v>
      </c>
    </row>
    <row r="50" spans="1:3" x14ac:dyDescent="0.25">
      <c r="A50">
        <v>25</v>
      </c>
      <c r="B50" t="str">
        <f ca="1">CELL("address", Overhead!P50)</f>
        <v>'[2025 ACEC-EFCG Key Financials Survey Form - BLANK (Unlocked).xlsx]Overhead'!$P$50</v>
      </c>
      <c r="C50" s="8" t="b">
        <f ca="1">INDIRECT(ChecksTable[[#This Row],[Location]])="OK"</f>
        <v>1</v>
      </c>
    </row>
    <row r="51" spans="1:3" x14ac:dyDescent="0.25">
      <c r="A51">
        <v>26</v>
      </c>
      <c r="B51" t="str">
        <f ca="1">CELL("address", Overhead!P52)</f>
        <v>'[2025 ACEC-EFCG Key Financials Survey Form - BLANK (Unlocked).xlsx]Overhead'!$P$52</v>
      </c>
      <c r="C51" s="8" t="b">
        <f ca="1">INDIRECT(ChecksTable[[#This Row],[Location]])="OK"</f>
        <v>1</v>
      </c>
    </row>
    <row r="52" spans="1:3" x14ac:dyDescent="0.25">
      <c r="A52">
        <v>27</v>
      </c>
      <c r="B52" t="str">
        <f ca="1">CELL("address", Overhead!P54)</f>
        <v>'[2025 ACEC-EFCG Key Financials Survey Form - BLANK (Unlocked).xlsx]Overhead'!$P$54</v>
      </c>
      <c r="C52" s="8" t="b">
        <f ca="1">INDIRECT(ChecksTable[[#This Row],[Location]])="OK"</f>
        <v>1</v>
      </c>
    </row>
    <row r="53" spans="1:3" x14ac:dyDescent="0.25">
      <c r="A53">
        <v>28</v>
      </c>
      <c r="B53" t="str">
        <f ca="1">CELL("address", Overhead!P56)</f>
        <v>'[2025 ACEC-EFCG Key Financials Survey Form - BLANK (Unlocked).xlsx]Overhead'!$P$56</v>
      </c>
      <c r="C53" s="8" t="b">
        <f ca="1">INDIRECT(ChecksTable[[#This Row],[Location]])="OK"</f>
        <v>1</v>
      </c>
    </row>
    <row r="54" spans="1:3" x14ac:dyDescent="0.25">
      <c r="A54">
        <v>29</v>
      </c>
      <c r="B54" t="str">
        <f ca="1">CELL("address", Overhead!P58)</f>
        <v>'[2025 ACEC-EFCG Key Financials Survey Form - BLANK (Unlocked).xlsx]Overhead'!$P$58</v>
      </c>
      <c r="C54" s="8" t="b">
        <f ca="1">INDIRECT(ChecksTable[[#This Row],[Location]])="OK"</f>
        <v>1</v>
      </c>
    </row>
    <row r="55" spans="1:3" x14ac:dyDescent="0.25">
      <c r="A55">
        <v>30</v>
      </c>
      <c r="B55" t="str">
        <f ca="1">CELL("address", Overhead!P61)</f>
        <v>'[2025 ACEC-EFCG Key Financials Survey Form - BLANK (Unlocked).xlsx]Overhead'!$P$61</v>
      </c>
      <c r="C55" s="8" t="b">
        <f ca="1">INDIRECT(ChecksTable[[#This Row],[Location]])="OK"</f>
        <v>1</v>
      </c>
    </row>
    <row r="56" spans="1:3" x14ac:dyDescent="0.25">
      <c r="A56">
        <v>31</v>
      </c>
      <c r="B56" t="str">
        <f ca="1">CELL("address", Overhead!P93)</f>
        <v>'[2025 ACEC-EFCG Key Financials Survey Form - BLANK (Unlocked).xlsx]Overhead'!$P$93</v>
      </c>
      <c r="C56" s="8" t="b">
        <f ca="1">INDIRECT(ChecksTable[[#This Row],[Location]])="OK"</f>
        <v>1</v>
      </c>
    </row>
    <row r="57" spans="1:3" x14ac:dyDescent="0.25">
      <c r="A57">
        <v>32</v>
      </c>
      <c r="B57" t="str">
        <f ca="1">CELL("address", Overhead!P19)</f>
        <v>'[2025 ACEC-EFCG Key Financials Survey Form - BLANK (Unlocked).xlsx]Overhead'!$P$19</v>
      </c>
      <c r="C57" s="8" t="b">
        <f ca="1">INDIRECT(ChecksTable[[#This Row],[Location]])="OK"</f>
        <v>1</v>
      </c>
    </row>
    <row r="58" spans="1:3" x14ac:dyDescent="0.25">
      <c r="A58">
        <v>33</v>
      </c>
      <c r="B58" t="str">
        <f ca="1">CELL("address", Overhead!P99)</f>
        <v>'[2025 ACEC-EFCG Key Financials Survey Form - BLANK (Unlocked).xlsx]Overhead'!$P$99</v>
      </c>
      <c r="C58" s="8" t="b">
        <f ca="1">INDIRECT(ChecksTable[[#This Row],[Location]])="OK"</f>
        <v>1</v>
      </c>
    </row>
    <row r="59" spans="1:3" x14ac:dyDescent="0.25">
      <c r="A59">
        <v>34</v>
      </c>
      <c r="B59" t="str">
        <f ca="1">CELL("address", Overhead!P103)</f>
        <v>'[2025 ACEC-EFCG Key Financials Survey Form - BLANK (Unlocked).xlsx]Overhead'!$P$103</v>
      </c>
      <c r="C59" s="8" t="b">
        <f ca="1">INDIRECT(ChecksTable[[#This Row],[Location]])="OK"</f>
        <v>1</v>
      </c>
    </row>
    <row r="60" spans="1:3" x14ac:dyDescent="0.25">
      <c r="A60">
        <v>35</v>
      </c>
      <c r="B60" t="str">
        <f ca="1">CELL("address", 'Revenue Details'!P11)</f>
        <v>'[2025 ACEC-EFCG Key Financials Survey Form - BLANK (Unlocked).xlsx]Revenue Details'!$P$11</v>
      </c>
      <c r="C60" s="8" t="b">
        <f ca="1">INDIRECT(ChecksTable[[#This Row],[Location]])="OK"</f>
        <v>1</v>
      </c>
    </row>
    <row r="61" spans="1:3" x14ac:dyDescent="0.25">
      <c r="A61">
        <v>36</v>
      </c>
      <c r="B61" t="str">
        <f ca="1">CELL("address", 'Revenue Details'!P22)</f>
        <v>'[2025 ACEC-EFCG Key Financials Survey Form - BLANK (Unlocked).xlsx]Revenue Details'!$P$22</v>
      </c>
      <c r="C61" s="8" t="b">
        <f ca="1">INDIRECT(ChecksTable[[#This Row],[Location]])="OK"</f>
        <v>1</v>
      </c>
    </row>
    <row r="62" spans="1:3" x14ac:dyDescent="0.25">
      <c r="A62">
        <v>37</v>
      </c>
      <c r="B62" t="str">
        <f ca="1">CELL("address", 'Revenue Details'!P33)</f>
        <v>'[2025 ACEC-EFCG Key Financials Survey Form - BLANK (Unlocked).xlsx]Revenue Details'!$P$33</v>
      </c>
      <c r="C62" s="8" t="b">
        <f ca="1">INDIRECT(ChecksTable[[#This Row],[Location]])="OK"</f>
        <v>1</v>
      </c>
    </row>
    <row r="63" spans="1:3" x14ac:dyDescent="0.25">
      <c r="A63">
        <v>38</v>
      </c>
      <c r="B63" t="str">
        <f ca="1">CELL("address", 'Revenue Details'!P38)</f>
        <v>'[2025 ACEC-EFCG Key Financials Survey Form - BLANK (Unlocked).xlsx]Revenue Details'!$P$38</v>
      </c>
      <c r="C63" s="8" t="b">
        <f ca="1">INDIRECT(ChecksTable[[#This Row],[Location]])="OK"</f>
        <v>1</v>
      </c>
    </row>
    <row r="64" spans="1:3" x14ac:dyDescent="0.25">
      <c r="A64">
        <v>39</v>
      </c>
      <c r="B64" t="str">
        <f ca="1">CELL("address", 'Revenue Details'!P49)</f>
        <v>'[2025 ACEC-EFCG Key Financials Survey Form - BLANK (Unlocked).xlsx]Revenue Details'!$P$49</v>
      </c>
      <c r="C64" s="8" t="b">
        <f ca="1">INDIRECT(ChecksTable[[#This Row],[Location]])="OK"</f>
        <v>1</v>
      </c>
    </row>
    <row r="65" spans="1:3" x14ac:dyDescent="0.25">
      <c r="A65">
        <v>40</v>
      </c>
      <c r="B65" t="str">
        <f ca="1">CELL("address", 'Revenue Details'!P54)</f>
        <v>'[2025 ACEC-EFCG Key Financials Survey Form - BLANK (Unlocked).xlsx]Revenue Details'!$P$54</v>
      </c>
      <c r="C65" s="8" t="b">
        <f ca="1">INDIRECT(ChecksTable[[#This Row],[Location]])="OK"</f>
        <v>1</v>
      </c>
    </row>
    <row r="66" spans="1:3" x14ac:dyDescent="0.25">
      <c r="A66">
        <v>41</v>
      </c>
      <c r="B66" t="str">
        <f ca="1">CELL("address", 'Revenue Details'!P57)</f>
        <v>'[2025 ACEC-EFCG Key Financials Survey Form - BLANK (Unlocked).xlsx]Revenue Details'!$P$57</v>
      </c>
      <c r="C66" s="8" t="b">
        <f ca="1">INDIRECT(ChecksTable[[#This Row],[Location]])="OK"</f>
        <v>1</v>
      </c>
    </row>
    <row r="67" spans="1:3" x14ac:dyDescent="0.25">
      <c r="A67">
        <v>42</v>
      </c>
      <c r="B67" t="str">
        <f ca="1">CELL("address", 'Revenue Details'!P59)</f>
        <v>'[2025 ACEC-EFCG Key Financials Survey Form - BLANK (Unlocked).xlsx]Revenue Details'!$P$59</v>
      </c>
      <c r="C67" s="8" t="b">
        <f ca="1">INDIRECT(ChecksTable[[#This Row],[Location]])="OK"</f>
        <v>1</v>
      </c>
    </row>
    <row r="68" spans="1:3" x14ac:dyDescent="0.25">
      <c r="A68">
        <v>43</v>
      </c>
      <c r="B68" t="str">
        <f ca="1">CELL("address", 'Revenue Details'!P64)</f>
        <v>'[2025 ACEC-EFCG Key Financials Survey Form - BLANK (Unlocked).xlsx]Revenue Details'!$P$64</v>
      </c>
      <c r="C68" s="8" t="b">
        <f ca="1">INDIRECT(ChecksTable[[#This Row],[Location]])="OK"</f>
        <v>1</v>
      </c>
    </row>
    <row r="69" spans="1:3" x14ac:dyDescent="0.25">
      <c r="A69">
        <v>44</v>
      </c>
      <c r="B69" t="str">
        <f ca="1">CELL("address", 'Revenue Details'!P66)</f>
        <v>'[2025 ACEC-EFCG Key Financials Survey Form - BLANK (Unlocked).xlsx]Revenue Details'!$P$66</v>
      </c>
      <c r="C69" s="8" t="b">
        <f ca="1">INDIRECT(ChecksTable[[#This Row],[Location]])="OK"</f>
        <v>1</v>
      </c>
    </row>
    <row r="70" spans="1:3" x14ac:dyDescent="0.25">
      <c r="A70">
        <v>45</v>
      </c>
      <c r="B70" t="str">
        <f ca="1">CELL("address", 'Revenue Details'!P76)</f>
        <v>'[2025 ACEC-EFCG Key Financials Survey Form - BLANK (Unlocked).xlsx]Revenue Details'!$P$76</v>
      </c>
      <c r="C70" s="8" t="b">
        <f ca="1">INDIRECT(ChecksTable[[#This Row],[Location]])="OK"</f>
        <v>1</v>
      </c>
    </row>
    <row r="71" spans="1:3" x14ac:dyDescent="0.25">
      <c r="A71">
        <v>46</v>
      </c>
      <c r="B71" t="str">
        <f ca="1">CELL("address", 'Revenue Details'!P81)</f>
        <v>'[2025 ACEC-EFCG Key Financials Survey Form - BLANK (Unlocked).xlsx]Revenue Details'!$P$81</v>
      </c>
      <c r="C71" s="8" t="b">
        <f ca="1">INDIRECT(ChecksTable[[#This Row],[Location]])="OK"</f>
        <v>1</v>
      </c>
    </row>
    <row r="72" spans="1:3" x14ac:dyDescent="0.25">
      <c r="A72">
        <v>47</v>
      </c>
      <c r="B72" t="str">
        <f ca="1">CELL("address", 'Revenue Details'!P83)</f>
        <v>'[2025 ACEC-EFCG Key Financials Survey Form - BLANK (Unlocked).xlsx]Revenue Details'!$P$83</v>
      </c>
      <c r="C72" s="8" t="b">
        <f ca="1">INDIRECT(ChecksTable[[#This Row],[Location]])="OK"</f>
        <v>1</v>
      </c>
    </row>
    <row r="73" spans="1:3" x14ac:dyDescent="0.25">
      <c r="A73">
        <v>48</v>
      </c>
      <c r="B73" t="str">
        <f ca="1">CELL("address", 'Revenue Details'!P88)</f>
        <v>'[2025 ACEC-EFCG Key Financials Survey Form - BLANK (Unlocked).xlsx]Revenue Details'!$P$88</v>
      </c>
      <c r="C73" s="8" t="b">
        <f ca="1">INDIRECT(ChecksTable[[#This Row],[Location]])="OK"</f>
        <v>1</v>
      </c>
    </row>
    <row r="74" spans="1:3" x14ac:dyDescent="0.25">
      <c r="A74">
        <v>49</v>
      </c>
      <c r="B74" t="str">
        <f ca="1">CELL("address", 'Revenue Details'!P115)</f>
        <v>'[2025 ACEC-EFCG Key Financials Survey Form - BLANK (Unlocked).xlsx]Revenue Details'!$P$115</v>
      </c>
      <c r="C74" s="8" t="b">
        <f ca="1">INDIRECT(ChecksTable[[#This Row],[Location]])="OK"</f>
        <v>1</v>
      </c>
    </row>
    <row r="75" spans="1:3" x14ac:dyDescent="0.25">
      <c r="A75">
        <v>50</v>
      </c>
      <c r="B75" t="str">
        <f ca="1">CELL("address", 'Revenue Details'!P128)</f>
        <v>'[2025 ACEC-EFCG Key Financials Survey Form - BLANK (Unlocked).xlsx]Revenue Details'!$P$128</v>
      </c>
      <c r="C75" s="8" t="b">
        <f ca="1">INDIRECT(ChecksTable[[#This Row],[Location]])="OK"</f>
        <v>1</v>
      </c>
    </row>
    <row r="76" spans="1:3" x14ac:dyDescent="0.25">
      <c r="A76">
        <v>51</v>
      </c>
      <c r="B76" t="str">
        <f ca="1">CELL("address", 'Revenue Details'!P134)</f>
        <v>'[2025 ACEC-EFCG Key Financials Survey Form - BLANK (Unlocked).xlsx]Revenue Details'!$P$134</v>
      </c>
      <c r="C76" s="8" t="b">
        <f ca="1">INDIRECT(ChecksTable[[#This Row],[Location]])="OK"</f>
        <v>1</v>
      </c>
    </row>
    <row r="77" spans="1:3" x14ac:dyDescent="0.25">
      <c r="A77">
        <v>52</v>
      </c>
      <c r="B77" t="str">
        <f ca="1">CELL("address", 'CapEx, M&amp;A'!P12)</f>
        <v>'[2025 ACEC-EFCG Key Financials Survey Form - BLANK (Unlocked).xlsx]CapEx, M&amp;A'!$P$12</v>
      </c>
      <c r="C77" s="8" t="b">
        <f ca="1">INDIRECT(ChecksTable[[#This Row],[Location]])="OK"</f>
        <v>1</v>
      </c>
    </row>
    <row r="78" spans="1:3" x14ac:dyDescent="0.25">
      <c r="A78">
        <v>53</v>
      </c>
      <c r="B78" t="str">
        <f ca="1">CELL("address", 'CapEx, M&amp;A'!P16)</f>
        <v>'[2025 ACEC-EFCG Key Financials Survey Form - BLANK (Unlocked).xlsx]CapEx, M&amp;A'!$P$16</v>
      </c>
      <c r="C78" s="8" t="b">
        <f ca="1">INDIRECT(ChecksTable[[#This Row],[Location]])="OK"</f>
        <v>1</v>
      </c>
    </row>
    <row r="79" spans="1:3" x14ac:dyDescent="0.25">
      <c r="A79">
        <v>54</v>
      </c>
      <c r="B79" t="str">
        <f ca="1">CELL("address", 'CapEx, M&amp;A'!P30)</f>
        <v>'[2025 ACEC-EFCG Key Financials Survey Form - BLANK (Unlocked).xlsx]CapEx, M&amp;A'!$P$30</v>
      </c>
      <c r="C79" s="8" t="b">
        <f ca="1">INDIRECT(ChecksTable[[#This Row],[Location]])="OK"</f>
        <v>1</v>
      </c>
    </row>
    <row r="80" spans="1:3" x14ac:dyDescent="0.25">
      <c r="A80">
        <v>55</v>
      </c>
      <c r="B80" t="str">
        <f ca="1">CELL("address", 'CapEx, M&amp;A'!P34)</f>
        <v>'[2025 ACEC-EFCG Key Financials Survey Form - BLANK (Unlocked).xlsx]CapEx, M&amp;A'!$P$34</v>
      </c>
      <c r="C80" s="8" t="b">
        <f ca="1">INDIRECT(ChecksTable[[#This Row],[Location]])="OK"</f>
        <v>1</v>
      </c>
    </row>
    <row r="81" spans="1:6" x14ac:dyDescent="0.25">
      <c r="A81">
        <v>56</v>
      </c>
      <c r="B81" t="str">
        <f ca="1">CELL("address", 'CapEx, M&amp;A'!P36)</f>
        <v>'[2025 ACEC-EFCG Key Financials Survey Form - BLANK (Unlocked).xlsx]CapEx, M&amp;A'!$P$36</v>
      </c>
      <c r="C81" s="8" t="b">
        <f ca="1">INDIRECT(ChecksTable[[#This Row],[Location]])="OK"</f>
        <v>1</v>
      </c>
    </row>
    <row r="82" spans="1:6" x14ac:dyDescent="0.25">
      <c r="A82">
        <v>63</v>
      </c>
      <c r="B82" t="str">
        <f ca="1">CELL("address", 'CapEx, M&amp;A'!P87)</f>
        <v>'[2025 ACEC-EFCG Key Financials Survey Form - BLANK (Unlocked).xlsx]CapEx, M&amp;A'!$P$87</v>
      </c>
      <c r="C82" s="8" t="b">
        <f ca="1">INDIRECT(ChecksTable[[#This Row],[Location]])="OK"</f>
        <v>1</v>
      </c>
    </row>
    <row r="83" spans="1:6" x14ac:dyDescent="0.25">
      <c r="A83">
        <v>62</v>
      </c>
      <c r="B83" t="str">
        <f ca="1">CELL("address", 'CapEx, M&amp;A'!P89)</f>
        <v>'[2025 ACEC-EFCG Key Financials Survey Form - BLANK (Unlocked).xlsx]CapEx, M&amp;A'!$P$89</v>
      </c>
      <c r="C83" s="8" t="b">
        <f ca="1">INDIRECT(ChecksTable[[#This Row],[Location]])="OK"</f>
        <v>1</v>
      </c>
    </row>
    <row r="84" spans="1:6" x14ac:dyDescent="0.25">
      <c r="A84">
        <v>61</v>
      </c>
      <c r="B84" t="str">
        <f ca="1">CELL("address", 'Ownership, Governance, Talent'!P8)</f>
        <v>'[2025 ACEC-EFCG Key Financials Survey Form - BLANK (Unlocked).xlsx]Ownership, Governance, Talent'!$P$8</v>
      </c>
      <c r="C84" s="8" t="b">
        <f ca="1">INDIRECT(ChecksTable[[#This Row],[Location]])="OK"</f>
        <v>1</v>
      </c>
    </row>
    <row r="85" spans="1:6" x14ac:dyDescent="0.25">
      <c r="A85">
        <v>59</v>
      </c>
      <c r="B85" t="str">
        <f ca="1">CELL("address", 'Ownership, Governance, Talent'!P10)</f>
        <v>'[2025 ACEC-EFCG Key Financials Survey Form - BLANK (Unlocked).xlsx]Ownership, Governance, Talent'!$P$10</v>
      </c>
      <c r="C85" s="8" t="b">
        <f ca="1">INDIRECT(ChecksTable[[#This Row],[Location]])="OK"</f>
        <v>1</v>
      </c>
    </row>
    <row r="86" spans="1:6" x14ac:dyDescent="0.25">
      <c r="A86">
        <v>60</v>
      </c>
      <c r="B86" t="str">
        <f ca="1">CELL("address", 'Ownership, Governance, Talent'!P90)</f>
        <v>'[2025 ACEC-EFCG Key Financials Survey Form - BLANK (Unlocked).xlsx]Ownership, Governance, Talent'!$P$90</v>
      </c>
      <c r="C86" s="8" t="b">
        <f ca="1">INDIRECT(ChecksTable[[#This Row],[Location]])="OK"</f>
        <v>1</v>
      </c>
    </row>
    <row r="87" spans="1:6" x14ac:dyDescent="0.25">
      <c r="F87" s="8"/>
    </row>
    <row r="88" spans="1:6" x14ac:dyDescent="0.25">
      <c r="F88" s="8"/>
    </row>
    <row r="89" spans="1:6" x14ac:dyDescent="0.25">
      <c r="F89" s="8"/>
    </row>
    <row r="90" spans="1:6" x14ac:dyDescent="0.25">
      <c r="F90" s="8"/>
    </row>
    <row r="91" spans="1:6" x14ac:dyDescent="0.25">
      <c r="F91" s="8"/>
    </row>
    <row r="92" spans="1:6" x14ac:dyDescent="0.25">
      <c r="F92" s="8"/>
    </row>
    <row r="93" spans="1:6" x14ac:dyDescent="0.25">
      <c r="F93" s="8"/>
    </row>
    <row r="94" spans="1:6" x14ac:dyDescent="0.25">
      <c r="F94" s="8"/>
    </row>
    <row r="95" spans="1:6" x14ac:dyDescent="0.25">
      <c r="F95" s="8"/>
    </row>
    <row r="96" spans="1:6" x14ac:dyDescent="0.25">
      <c r="F96" s="8"/>
    </row>
    <row r="97" spans="6:6" x14ac:dyDescent="0.25">
      <c r="F97" s="8"/>
    </row>
    <row r="98" spans="6:6" x14ac:dyDescent="0.25">
      <c r="F98" s="8"/>
    </row>
    <row r="99" spans="6:6" x14ac:dyDescent="0.25">
      <c r="F99" s="8"/>
    </row>
    <row r="100" spans="6:6" x14ac:dyDescent="0.25">
      <c r="F100" s="8"/>
    </row>
    <row r="101" spans="6:6" x14ac:dyDescent="0.25">
      <c r="F101" s="8"/>
    </row>
    <row r="102" spans="6:6" x14ac:dyDescent="0.25">
      <c r="F102" s="8"/>
    </row>
    <row r="103" spans="6:6" x14ac:dyDescent="0.25">
      <c r="F103" s="8"/>
    </row>
    <row r="104" spans="6:6" x14ac:dyDescent="0.25">
      <c r="F104" s="8"/>
    </row>
    <row r="105" spans="6:6" x14ac:dyDescent="0.25">
      <c r="F105" s="8"/>
    </row>
    <row r="106" spans="6:6" x14ac:dyDescent="0.25">
      <c r="F106" s="8"/>
    </row>
    <row r="107" spans="6:6" x14ac:dyDescent="0.25">
      <c r="F107" s="8"/>
    </row>
  </sheetData>
  <phoneticPr fontId="68"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D79C-F1ED-46C9-944F-F7C367057395}">
  <sheetPr codeName="Sheet13">
    <tabColor theme="7" tint="0.79998168889431442"/>
  </sheetPr>
  <dimension ref="A1:CA246"/>
  <sheetViews>
    <sheetView zoomScale="70" zoomScaleNormal="70" workbookViewId="0"/>
  </sheetViews>
  <sheetFormatPr defaultRowHeight="15" x14ac:dyDescent="0.25"/>
  <cols>
    <col min="1" max="1" width="5.42578125" bestFit="1" customWidth="1"/>
    <col min="2" max="2" width="2.5703125" bestFit="1" customWidth="1"/>
    <col min="3" max="3" width="5.42578125" bestFit="1" customWidth="1"/>
    <col min="4" max="4" width="6.85546875" bestFit="1" customWidth="1"/>
    <col min="5" max="5" width="12.85546875" bestFit="1" customWidth="1"/>
    <col min="6" max="6" width="36.42578125" bestFit="1" customWidth="1"/>
    <col min="7" max="7" width="27.140625" bestFit="1" customWidth="1"/>
    <col min="8" max="8" width="21.42578125" bestFit="1" customWidth="1"/>
    <col min="9" max="9" width="13.140625" bestFit="1" customWidth="1"/>
    <col min="10" max="10" width="32.85546875" bestFit="1" customWidth="1"/>
    <col min="11" max="11" width="9.42578125" bestFit="1" customWidth="1"/>
    <col min="12" max="12" width="33.140625" bestFit="1" customWidth="1"/>
    <col min="13" max="13" width="63.85546875" bestFit="1" customWidth="1"/>
    <col min="14" max="14" width="45.85546875" bestFit="1" customWidth="1"/>
    <col min="15" max="15" width="12" bestFit="1" customWidth="1"/>
    <col min="16" max="16" width="23" bestFit="1" customWidth="1"/>
    <col min="17" max="17" width="34.140625" bestFit="1" customWidth="1"/>
    <col min="18" max="18" width="20.5703125" bestFit="1" customWidth="1"/>
    <col min="19" max="19" width="26.140625" bestFit="1" customWidth="1"/>
    <col min="20" max="20" width="87.42578125" bestFit="1" customWidth="1"/>
    <col min="21" max="21" width="72.85546875" bestFit="1" customWidth="1"/>
    <col min="22" max="22" width="18.5703125" bestFit="1" customWidth="1"/>
    <col min="23" max="23" width="21.85546875" bestFit="1" customWidth="1"/>
    <col min="24" max="24" width="102.140625" bestFit="1" customWidth="1"/>
    <col min="25" max="25" width="15.85546875" bestFit="1" customWidth="1"/>
    <col min="26" max="26" width="76.140625" bestFit="1" customWidth="1"/>
    <col min="27" max="27" width="8.85546875" bestFit="1" customWidth="1"/>
    <col min="28" max="29" width="12.85546875" bestFit="1" customWidth="1"/>
    <col min="30" max="30" width="34.85546875" bestFit="1" customWidth="1"/>
    <col min="31" max="31" width="40.140625" bestFit="1" customWidth="1"/>
    <col min="32" max="32" width="25.5703125" bestFit="1" customWidth="1"/>
    <col min="33" max="33" width="27.85546875" bestFit="1" customWidth="1"/>
    <col min="34" max="34" width="37.140625" bestFit="1" customWidth="1"/>
    <col min="35" max="35" width="12.85546875" bestFit="1" customWidth="1"/>
    <col min="36" max="36" width="15.140625" bestFit="1" customWidth="1"/>
    <col min="37" max="37" width="58.42578125" bestFit="1" customWidth="1"/>
    <col min="38" max="38" width="49.42578125" bestFit="1" customWidth="1"/>
    <col min="39" max="39" width="38.5703125" bestFit="1" customWidth="1"/>
    <col min="40" max="40" width="60.140625" bestFit="1" customWidth="1"/>
    <col min="41" max="41" width="40.140625" bestFit="1" customWidth="1"/>
    <col min="42" max="42" width="26.85546875" bestFit="1" customWidth="1"/>
    <col min="43" max="43" width="25.85546875" bestFit="1" customWidth="1"/>
    <col min="44" max="44" width="32.140625" bestFit="1" customWidth="1"/>
    <col min="45" max="45" width="33.85546875" bestFit="1" customWidth="1"/>
    <col min="46" max="46" width="12.140625" customWidth="1"/>
    <col min="47" max="47" width="28" bestFit="1" customWidth="1"/>
    <col min="49" max="49" width="52.42578125" bestFit="1" customWidth="1"/>
    <col min="50" max="50" width="36" bestFit="1" customWidth="1"/>
    <col min="52" max="52" width="35.140625" customWidth="1"/>
    <col min="53" max="53" width="31.5703125" bestFit="1" customWidth="1"/>
    <col min="54" max="54" width="25.5703125" bestFit="1" customWidth="1"/>
    <col min="55" max="55" width="32.5703125" bestFit="1" customWidth="1"/>
    <col min="56" max="56" width="20.28515625" bestFit="1" customWidth="1"/>
    <col min="57" max="57" width="35" customWidth="1"/>
    <col min="58" max="58" width="30.140625" bestFit="1" customWidth="1"/>
    <col min="59" max="59" width="36.28515625" bestFit="1" customWidth="1"/>
    <col min="60" max="60" width="45.140625" bestFit="1" customWidth="1"/>
    <col min="61" max="61" width="44.140625" bestFit="1" customWidth="1"/>
    <col min="62" max="62" width="39.28515625" bestFit="1" customWidth="1"/>
    <col min="63" max="63" width="18.7109375" bestFit="1" customWidth="1"/>
    <col min="64" max="64" width="45.28515625" bestFit="1" customWidth="1"/>
    <col min="65" max="65" width="35.42578125" customWidth="1"/>
    <col min="66" max="66" width="52" bestFit="1" customWidth="1"/>
    <col min="67" max="67" width="41" customWidth="1"/>
    <col min="68" max="68" width="25.85546875" bestFit="1" customWidth="1"/>
    <col min="69" max="69" width="28.5703125" bestFit="1" customWidth="1"/>
    <col min="70" max="70" width="30" bestFit="1" customWidth="1"/>
    <col min="71" max="71" width="25.5703125" bestFit="1" customWidth="1"/>
    <col min="72" max="72" width="27.42578125" bestFit="1" customWidth="1"/>
    <col min="73" max="73" width="41.42578125" bestFit="1" customWidth="1"/>
    <col min="74" max="74" width="32.85546875" bestFit="1" customWidth="1"/>
    <col min="75" max="75" width="27.5703125" bestFit="1" customWidth="1"/>
    <col min="76" max="76" width="24.7109375" customWidth="1"/>
    <col min="77" max="77" width="18.7109375" bestFit="1" customWidth="1"/>
    <col min="78" max="78" width="34" bestFit="1" customWidth="1"/>
    <col min="79" max="79" width="32.42578125" customWidth="1"/>
  </cols>
  <sheetData>
    <row r="1" spans="1:1" s="28" customFormat="1" x14ac:dyDescent="0.25">
      <c r="A1" s="25" t="str">
        <f ca="1">_xlfn.CONCAT(MID(CELL("filename"),SEARCH("[",CELL("filename"))+1, SEARCH("]",CELL("filename"))-SEARCH("[",CELL("filename"))-6), " - ", MID(CELL("filename",A1),FIND("]",CELL("filename",A1))+1,255))</f>
        <v>2025 ACEC-EFCG Key Financials Survey Form - BLANK (Unlocked) - Dropdowns</v>
      </c>
    </row>
    <row r="3" spans="1:1" s="10" customFormat="1" x14ac:dyDescent="0.25">
      <c r="A3" s="15" t="s">
        <v>682</v>
      </c>
    </row>
    <row r="4" spans="1:1" x14ac:dyDescent="0.25">
      <c r="A4" t="s">
        <v>811</v>
      </c>
    </row>
    <row r="6" spans="1:1" x14ac:dyDescent="0.25">
      <c r="A6" t="s">
        <v>763</v>
      </c>
    </row>
    <row r="7" spans="1:1" x14ac:dyDescent="0.25">
      <c r="A7" s="13" t="s">
        <v>812</v>
      </c>
    </row>
    <row r="9" spans="1:1" s="10" customFormat="1" x14ac:dyDescent="0.25">
      <c r="A9" s="15" t="s">
        <v>461</v>
      </c>
    </row>
    <row r="11" spans="1:1" s="12" customFormat="1" x14ac:dyDescent="0.25">
      <c r="A11" s="12" t="s">
        <v>813</v>
      </c>
    </row>
    <row r="12" spans="1:1" x14ac:dyDescent="0.25">
      <c r="A12" t="s">
        <v>814</v>
      </c>
    </row>
    <row r="13" spans="1:1" x14ac:dyDescent="0.25">
      <c r="A13" t="s">
        <v>815</v>
      </c>
    </row>
    <row r="14" spans="1:1" x14ac:dyDescent="0.25">
      <c r="A14" s="13" t="s">
        <v>816</v>
      </c>
    </row>
    <row r="15" spans="1:1" x14ac:dyDescent="0.25">
      <c r="A15" s="13" t="s">
        <v>817</v>
      </c>
    </row>
    <row r="17" spans="1:79" s="17" customFormat="1" x14ac:dyDescent="0.25">
      <c r="A17" s="16" t="s">
        <v>695</v>
      </c>
    </row>
    <row r="19" spans="1:79" x14ac:dyDescent="0.25">
      <c r="A19" t="s">
        <v>797</v>
      </c>
      <c r="B19" t="s">
        <v>798</v>
      </c>
      <c r="C19" t="s">
        <v>799</v>
      </c>
      <c r="D19" t="s">
        <v>803</v>
      </c>
      <c r="E19" t="s">
        <v>804</v>
      </c>
      <c r="F19" t="s">
        <v>800</v>
      </c>
      <c r="G19" t="s">
        <v>801</v>
      </c>
      <c r="H19" t="s">
        <v>614</v>
      </c>
      <c r="I19" t="s">
        <v>802</v>
      </c>
      <c r="J19" t="s">
        <v>805</v>
      </c>
      <c r="K19" t="s">
        <v>827</v>
      </c>
      <c r="L19" t="s">
        <v>929</v>
      </c>
      <c r="M19" t="s">
        <v>937</v>
      </c>
      <c r="N19" t="s">
        <v>967</v>
      </c>
      <c r="O19" t="s">
        <v>830</v>
      </c>
      <c r="P19" t="s">
        <v>806</v>
      </c>
      <c r="Q19" t="s">
        <v>807</v>
      </c>
      <c r="R19" t="s">
        <v>808</v>
      </c>
      <c r="S19" t="s">
        <v>809</v>
      </c>
      <c r="T19" t="s">
        <v>1046</v>
      </c>
      <c r="U19" t="s">
        <v>1063</v>
      </c>
      <c r="V19" t="s">
        <v>1090</v>
      </c>
      <c r="W19" t="s">
        <v>1085</v>
      </c>
      <c r="X19" t="s">
        <v>1045</v>
      </c>
      <c r="Y19" t="s">
        <v>1074</v>
      </c>
      <c r="Z19" t="s">
        <v>1055</v>
      </c>
      <c r="AA19" t="s">
        <v>1094</v>
      </c>
      <c r="AB19" t="s">
        <v>1043</v>
      </c>
      <c r="AC19" t="s">
        <v>1138</v>
      </c>
      <c r="AD19" t="s">
        <v>1144</v>
      </c>
      <c r="AE19" t="s">
        <v>1151</v>
      </c>
      <c r="AF19" t="s">
        <v>1157</v>
      </c>
      <c r="AG19" t="s">
        <v>1159</v>
      </c>
      <c r="AH19" t="s">
        <v>1168</v>
      </c>
      <c r="AI19" t="s">
        <v>1139</v>
      </c>
      <c r="AJ19" t="s">
        <v>1182</v>
      </c>
      <c r="AK19" t="s">
        <v>1187</v>
      </c>
      <c r="AL19" t="s">
        <v>1206</v>
      </c>
      <c r="AM19" t="s">
        <v>1205</v>
      </c>
      <c r="AN19" t="s">
        <v>1219</v>
      </c>
      <c r="AO19" t="s">
        <v>1218</v>
      </c>
      <c r="AP19" t="s">
        <v>1212</v>
      </c>
      <c r="AQ19" t="s">
        <v>1227</v>
      </c>
      <c r="AR19" t="s">
        <v>1232</v>
      </c>
      <c r="AS19" t="s">
        <v>1233</v>
      </c>
      <c r="AT19" t="s">
        <v>1226</v>
      </c>
      <c r="AU19" t="s">
        <v>1244</v>
      </c>
      <c r="AV19" t="s">
        <v>1250</v>
      </c>
      <c r="AW19" t="s">
        <v>1251</v>
      </c>
      <c r="AX19" t="s">
        <v>961</v>
      </c>
      <c r="AY19" t="s">
        <v>810</v>
      </c>
      <c r="AZ19" t="s">
        <v>1373</v>
      </c>
      <c r="BA19" t="s">
        <v>1377</v>
      </c>
      <c r="BB19" t="s">
        <v>1379</v>
      </c>
      <c r="BC19" t="s">
        <v>1386</v>
      </c>
      <c r="BD19" t="s">
        <v>1393</v>
      </c>
      <c r="BE19" t="s">
        <v>1400</v>
      </c>
      <c r="BF19" t="s">
        <v>1407</v>
      </c>
      <c r="BG19" t="s">
        <v>1408</v>
      </c>
      <c r="BH19" t="s">
        <v>1504</v>
      </c>
      <c r="BI19" t="s">
        <v>1508</v>
      </c>
      <c r="BJ19" t="s">
        <v>1509</v>
      </c>
      <c r="BK19" t="s">
        <v>1516</v>
      </c>
      <c r="BL19" t="s">
        <v>1523</v>
      </c>
      <c r="BM19" t="s">
        <v>1527</v>
      </c>
      <c r="BN19" t="s">
        <v>1540</v>
      </c>
      <c r="BO19" t="s">
        <v>1539</v>
      </c>
      <c r="BP19" t="s">
        <v>1541</v>
      </c>
      <c r="BQ19" t="s">
        <v>1546</v>
      </c>
      <c r="BR19" t="s">
        <v>1551</v>
      </c>
      <c r="BS19" t="s">
        <v>1557</v>
      </c>
      <c r="BT19" t="s">
        <v>1562</v>
      </c>
      <c r="BU19" t="s">
        <v>1567</v>
      </c>
      <c r="BV19" t="s">
        <v>1576</v>
      </c>
      <c r="BW19" t="s">
        <v>1577</v>
      </c>
      <c r="BX19" t="s">
        <v>1578</v>
      </c>
      <c r="BY19" t="s">
        <v>1582</v>
      </c>
      <c r="BZ19" t="s">
        <v>1584</v>
      </c>
      <c r="CA19" t="s">
        <v>1589</v>
      </c>
    </row>
    <row r="20" spans="1:79" x14ac:dyDescent="0.25">
      <c r="A20">
        <v>1</v>
      </c>
      <c r="B20" t="s">
        <v>60</v>
      </c>
      <c r="C20" t="s">
        <v>433</v>
      </c>
      <c r="D20">
        <v>2019</v>
      </c>
      <c r="E20" t="s">
        <v>443</v>
      </c>
      <c r="F20" t="s">
        <v>207</v>
      </c>
      <c r="G20" t="s">
        <v>3</v>
      </c>
      <c r="H20" t="s">
        <v>427</v>
      </c>
      <c r="I20" t="s">
        <v>428</v>
      </c>
      <c r="J20" t="s">
        <v>490</v>
      </c>
      <c r="K20" t="s">
        <v>80</v>
      </c>
      <c r="L20" t="s">
        <v>930</v>
      </c>
      <c r="M20" t="s">
        <v>979</v>
      </c>
      <c r="N20" t="s">
        <v>964</v>
      </c>
      <c r="O20" t="s">
        <v>1000</v>
      </c>
      <c r="P20" t="s">
        <v>769</v>
      </c>
      <c r="Q20" t="s">
        <v>771</v>
      </c>
      <c r="R20" t="s">
        <v>577</v>
      </c>
      <c r="S20" t="s">
        <v>583</v>
      </c>
      <c r="T20" t="s">
        <v>1047</v>
      </c>
      <c r="U20" t="s">
        <v>1064</v>
      </c>
      <c r="V20" t="s">
        <v>1091</v>
      </c>
      <c r="W20" t="s">
        <v>1086</v>
      </c>
      <c r="X20" t="s">
        <v>1079</v>
      </c>
      <c r="Y20" t="s">
        <v>1075</v>
      </c>
      <c r="Z20" t="s">
        <v>1056</v>
      </c>
      <c r="AA20" t="s">
        <v>433</v>
      </c>
      <c r="AB20" t="s">
        <v>433</v>
      </c>
      <c r="AC20" t="s">
        <v>1140</v>
      </c>
      <c r="AD20" t="s">
        <v>1145</v>
      </c>
      <c r="AE20" t="s">
        <v>1316</v>
      </c>
      <c r="AF20" t="s">
        <v>1152</v>
      </c>
      <c r="AG20" t="s">
        <v>1160</v>
      </c>
      <c r="AH20" t="s">
        <v>1169</v>
      </c>
      <c r="AI20" t="s">
        <v>433</v>
      </c>
      <c r="AJ20" t="s">
        <v>1183</v>
      </c>
      <c r="AK20" t="s">
        <v>1188</v>
      </c>
      <c r="AL20" t="s">
        <v>1207</v>
      </c>
      <c r="AM20" t="s">
        <v>1200</v>
      </c>
      <c r="AN20" t="s">
        <v>1220</v>
      </c>
      <c r="AO20" t="s">
        <v>1213</v>
      </c>
      <c r="AP20" t="s">
        <v>499</v>
      </c>
      <c r="AQ20" t="s">
        <v>1228</v>
      </c>
      <c r="AR20" t="s">
        <v>1239</v>
      </c>
      <c r="AS20" t="s">
        <v>1234</v>
      </c>
      <c r="AT20" t="s">
        <v>1241</v>
      </c>
      <c r="AU20" t="s">
        <v>1245</v>
      </c>
      <c r="AV20" t="s">
        <v>1241</v>
      </c>
      <c r="AW20" t="s">
        <v>1252</v>
      </c>
      <c r="AX20" t="s">
        <v>1259</v>
      </c>
      <c r="AY20" t="str">
        <f>IFERROR(_xlfn.MAXIFS(#REF!,#REF!, CRUD_FirmID), "-")</f>
        <v>-</v>
      </c>
      <c r="AZ20" t="s">
        <v>1374</v>
      </c>
      <c r="BA20" t="s">
        <v>1378</v>
      </c>
      <c r="BB20" t="s">
        <v>1380</v>
      </c>
      <c r="BC20" t="s">
        <v>1387</v>
      </c>
      <c r="BD20" t="s">
        <v>1394</v>
      </c>
      <c r="BE20" t="s">
        <v>1401</v>
      </c>
      <c r="BF20" t="s">
        <v>433</v>
      </c>
      <c r="BG20" t="s">
        <v>433</v>
      </c>
      <c r="BH20" s="445" t="s">
        <v>1608</v>
      </c>
      <c r="BI20" t="s">
        <v>433</v>
      </c>
      <c r="BJ20" t="s">
        <v>433</v>
      </c>
      <c r="BK20" t="s">
        <v>1143</v>
      </c>
      <c r="BL20" t="s">
        <v>433</v>
      </c>
      <c r="BM20" t="s">
        <v>1524</v>
      </c>
      <c r="BN20" t="s">
        <v>1528</v>
      </c>
      <c r="BO20" t="s">
        <v>1534</v>
      </c>
      <c r="BP20" t="s">
        <v>1542</v>
      </c>
      <c r="BQ20" t="s">
        <v>1547</v>
      </c>
      <c r="BR20" t="s">
        <v>1552</v>
      </c>
      <c r="BS20" t="s">
        <v>1558</v>
      </c>
      <c r="BT20" t="s">
        <v>1563</v>
      </c>
      <c r="BU20" t="s">
        <v>1568</v>
      </c>
      <c r="BV20" t="s">
        <v>1571</v>
      </c>
      <c r="BW20" t="s">
        <v>1573</v>
      </c>
      <c r="BX20" t="s">
        <v>1579</v>
      </c>
      <c r="BY20" s="446">
        <v>0</v>
      </c>
      <c r="BZ20" t="s">
        <v>1586</v>
      </c>
      <c r="CA20" t="s">
        <v>1590</v>
      </c>
    </row>
    <row r="21" spans="1:79" x14ac:dyDescent="0.25">
      <c r="A21">
        <v>2</v>
      </c>
      <c r="C21" t="s">
        <v>434</v>
      </c>
      <c r="D21">
        <v>2018</v>
      </c>
      <c r="E21" t="s">
        <v>444</v>
      </c>
      <c r="F21" t="s">
        <v>160</v>
      </c>
      <c r="G21" t="s">
        <v>4</v>
      </c>
      <c r="H21" t="s">
        <v>425</v>
      </c>
      <c r="I21" t="s">
        <v>429</v>
      </c>
      <c r="J21" t="s">
        <v>491</v>
      </c>
      <c r="K21" t="s">
        <v>828</v>
      </c>
      <c r="L21" t="s">
        <v>931</v>
      </c>
      <c r="M21" t="s">
        <v>980</v>
      </c>
      <c r="N21" t="s">
        <v>965</v>
      </c>
      <c r="O21" t="s">
        <v>1002</v>
      </c>
      <c r="P21" t="s">
        <v>770</v>
      </c>
      <c r="Q21" t="s">
        <v>772</v>
      </c>
      <c r="R21" t="s">
        <v>578</v>
      </c>
      <c r="S21" t="s">
        <v>582</v>
      </c>
      <c r="T21" t="s">
        <v>1048</v>
      </c>
      <c r="U21" t="s">
        <v>1065</v>
      </c>
      <c r="V21" t="s">
        <v>1092</v>
      </c>
      <c r="W21" t="s">
        <v>1087</v>
      </c>
      <c r="X21" t="s">
        <v>1080</v>
      </c>
      <c r="Y21" t="s">
        <v>1076</v>
      </c>
      <c r="Z21" t="s">
        <v>1057</v>
      </c>
      <c r="AA21" t="s">
        <v>434</v>
      </c>
      <c r="AB21" t="s">
        <v>434</v>
      </c>
      <c r="AC21" t="s">
        <v>1141</v>
      </c>
      <c r="AD21" t="s">
        <v>1146</v>
      </c>
      <c r="AE21" t="s">
        <v>1317</v>
      </c>
      <c r="AF21" t="s">
        <v>1153</v>
      </c>
      <c r="AG21" t="s">
        <v>1161</v>
      </c>
      <c r="AH21" t="s">
        <v>1170</v>
      </c>
      <c r="AI21" t="s">
        <v>434</v>
      </c>
      <c r="AJ21" t="s">
        <v>1184</v>
      </c>
      <c r="AK21" t="s">
        <v>1189</v>
      </c>
      <c r="AL21" t="s">
        <v>1208</v>
      </c>
      <c r="AM21" t="s">
        <v>1201</v>
      </c>
      <c r="AN21" t="s">
        <v>1221</v>
      </c>
      <c r="AO21" t="s">
        <v>1214</v>
      </c>
      <c r="AP21" t="s">
        <v>90</v>
      </c>
      <c r="AQ21" t="s">
        <v>1229</v>
      </c>
      <c r="AR21" t="s">
        <v>1240</v>
      </c>
      <c r="AS21" t="s">
        <v>1235</v>
      </c>
      <c r="AT21" t="s">
        <v>1242</v>
      </c>
      <c r="AU21" t="s">
        <v>1246</v>
      </c>
      <c r="AV21" t="s">
        <v>1249</v>
      </c>
      <c r="AW21" t="s">
        <v>1253</v>
      </c>
      <c r="AX21" t="s">
        <v>1260</v>
      </c>
      <c r="AY21" t="str">
        <f>IFERROR(_xlfn.MAXIFS(#REF!,#REF!, CRUD_FirmID,#REF!, "&lt;"&amp;AY20), "-")</f>
        <v>-</v>
      </c>
      <c r="AZ21" t="s">
        <v>1375</v>
      </c>
      <c r="BA21" t="s">
        <v>595</v>
      </c>
      <c r="BB21" t="s">
        <v>1381</v>
      </c>
      <c r="BC21" t="s">
        <v>1388</v>
      </c>
      <c r="BD21" t="s">
        <v>1395</v>
      </c>
      <c r="BE21" t="s">
        <v>1402</v>
      </c>
      <c r="BF21" t="s">
        <v>1427</v>
      </c>
      <c r="BG21" t="s">
        <v>1427</v>
      </c>
      <c r="BH21" s="445" t="s">
        <v>1380</v>
      </c>
      <c r="BI21" t="s">
        <v>1510</v>
      </c>
      <c r="BJ21" t="s">
        <v>1513</v>
      </c>
      <c r="BK21" t="s">
        <v>1517</v>
      </c>
      <c r="BL21" t="s">
        <v>1521</v>
      </c>
      <c r="BM21" t="s">
        <v>1525</v>
      </c>
      <c r="BN21" t="s">
        <v>1529</v>
      </c>
      <c r="BO21" t="s">
        <v>1536</v>
      </c>
      <c r="BP21" t="s">
        <v>1543</v>
      </c>
      <c r="BQ21" t="s">
        <v>1548</v>
      </c>
      <c r="BR21" t="s">
        <v>1553</v>
      </c>
      <c r="BS21" t="s">
        <v>1559</v>
      </c>
      <c r="BT21" t="s">
        <v>1564</v>
      </c>
      <c r="BU21" t="s">
        <v>1569</v>
      </c>
      <c r="BV21" t="s">
        <v>1092</v>
      </c>
      <c r="BW21" t="s">
        <v>1574</v>
      </c>
      <c r="BX21" t="s">
        <v>1580</v>
      </c>
      <c r="BY21" t="s">
        <v>1505</v>
      </c>
      <c r="BZ21" t="s">
        <v>1587</v>
      </c>
      <c r="CA21" t="s">
        <v>1200</v>
      </c>
    </row>
    <row r="22" spans="1:79" x14ac:dyDescent="0.25">
      <c r="A22">
        <v>3</v>
      </c>
      <c r="D22">
        <v>2017</v>
      </c>
      <c r="E22" t="s">
        <v>445</v>
      </c>
      <c r="F22" t="s">
        <v>208</v>
      </c>
      <c r="G22" t="s">
        <v>5</v>
      </c>
      <c r="H22" t="s">
        <v>426</v>
      </c>
      <c r="I22" t="s">
        <v>430</v>
      </c>
      <c r="J22" t="s">
        <v>88</v>
      </c>
      <c r="L22" t="s">
        <v>932</v>
      </c>
      <c r="M22" t="s">
        <v>938</v>
      </c>
      <c r="N22" t="s">
        <v>966</v>
      </c>
      <c r="O22" t="s">
        <v>1001</v>
      </c>
      <c r="P22" t="s">
        <v>774</v>
      </c>
      <c r="Q22" t="s">
        <v>773</v>
      </c>
      <c r="R22" t="s">
        <v>579</v>
      </c>
      <c r="S22" t="s">
        <v>584</v>
      </c>
      <c r="T22" t="s">
        <v>1049</v>
      </c>
      <c r="U22" t="s">
        <v>1066</v>
      </c>
      <c r="V22" t="s">
        <v>1093</v>
      </c>
      <c r="W22" t="s">
        <v>1088</v>
      </c>
      <c r="X22" t="s">
        <v>1081</v>
      </c>
      <c r="Y22" t="s">
        <v>1077</v>
      </c>
      <c r="Z22" t="s">
        <v>1058</v>
      </c>
      <c r="AA22" t="s">
        <v>201</v>
      </c>
      <c r="AB22" t="s">
        <v>1071</v>
      </c>
      <c r="AC22" t="s">
        <v>1142</v>
      </c>
      <c r="AD22" t="s">
        <v>1147</v>
      </c>
      <c r="AE22" t="s">
        <v>1318</v>
      </c>
      <c r="AF22" t="s">
        <v>1154</v>
      </c>
      <c r="AG22" t="s">
        <v>1162</v>
      </c>
      <c r="AH22" t="s">
        <v>1171</v>
      </c>
      <c r="AI22" t="s">
        <v>1071</v>
      </c>
      <c r="AJ22" t="s">
        <v>1185</v>
      </c>
      <c r="AK22" t="s">
        <v>1190</v>
      </c>
      <c r="AL22" t="s">
        <v>1209</v>
      </c>
      <c r="AM22" t="s">
        <v>1202</v>
      </c>
      <c r="AN22" t="s">
        <v>1222</v>
      </c>
      <c r="AO22" t="s">
        <v>1215</v>
      </c>
      <c r="AP22" t="s">
        <v>91</v>
      </c>
      <c r="AQ22" t="s">
        <v>1230</v>
      </c>
      <c r="AR22" t="s">
        <v>1231</v>
      </c>
      <c r="AS22" t="s">
        <v>1236</v>
      </c>
      <c r="AT22" t="s">
        <v>1243</v>
      </c>
      <c r="AU22" t="s">
        <v>1247</v>
      </c>
      <c r="AV22" t="s">
        <v>434</v>
      </c>
      <c r="AW22" t="s">
        <v>1254</v>
      </c>
      <c r="AX22" t="s">
        <v>1261</v>
      </c>
      <c r="AY22" t="str">
        <f>IFERROR(_xlfn.MAXIFS(#REF!,#REF!, CRUD_FirmID,#REF!, "&lt;"&amp;AY21), "-")</f>
        <v>-</v>
      </c>
      <c r="AZ22" t="s">
        <v>1376</v>
      </c>
      <c r="BB22" t="s">
        <v>1383</v>
      </c>
      <c r="BC22" t="s">
        <v>1389</v>
      </c>
      <c r="BD22" t="s">
        <v>1396</v>
      </c>
      <c r="BE22" t="s">
        <v>1403</v>
      </c>
      <c r="BF22" t="s">
        <v>1428</v>
      </c>
      <c r="BG22" t="s">
        <v>1428</v>
      </c>
      <c r="BH22" s="445" t="s">
        <v>1507</v>
      </c>
      <c r="BI22" t="s">
        <v>1511</v>
      </c>
      <c r="BJ22" t="s">
        <v>1514</v>
      </c>
      <c r="BK22" t="s">
        <v>1518</v>
      </c>
      <c r="BL22" t="s">
        <v>1522</v>
      </c>
      <c r="BM22" t="s">
        <v>1526</v>
      </c>
      <c r="BN22" t="s">
        <v>1530</v>
      </c>
      <c r="BO22" t="s">
        <v>1535</v>
      </c>
      <c r="BP22" t="s">
        <v>1544</v>
      </c>
      <c r="BQ22" t="s">
        <v>1549</v>
      </c>
      <c r="BR22" t="s">
        <v>1554</v>
      </c>
      <c r="BS22" t="s">
        <v>1560</v>
      </c>
      <c r="BT22" t="s">
        <v>1565</v>
      </c>
      <c r="BU22" t="s">
        <v>1570</v>
      </c>
      <c r="BV22" t="s">
        <v>1572</v>
      </c>
      <c r="BW22" t="s">
        <v>1575</v>
      </c>
      <c r="BX22" t="s">
        <v>1581</v>
      </c>
      <c r="BY22" t="s">
        <v>1506</v>
      </c>
      <c r="BZ22" t="s">
        <v>1588</v>
      </c>
      <c r="CA22" t="s">
        <v>1201</v>
      </c>
    </row>
    <row r="23" spans="1:79" x14ac:dyDescent="0.25">
      <c r="A23">
        <v>4</v>
      </c>
      <c r="D23">
        <v>2016</v>
      </c>
      <c r="E23" t="s">
        <v>446</v>
      </c>
      <c r="F23" t="s">
        <v>209</v>
      </c>
      <c r="G23" t="s">
        <v>6</v>
      </c>
      <c r="I23" t="s">
        <v>431</v>
      </c>
      <c r="J23" t="s">
        <v>78</v>
      </c>
      <c r="L23" t="s">
        <v>933</v>
      </c>
      <c r="M23" t="s">
        <v>939</v>
      </c>
      <c r="N23" t="s">
        <v>998</v>
      </c>
      <c r="O23" t="s">
        <v>78</v>
      </c>
      <c r="P23" t="s">
        <v>78</v>
      </c>
      <c r="Q23" t="s">
        <v>829</v>
      </c>
      <c r="R23" t="s">
        <v>580</v>
      </c>
      <c r="S23" t="s">
        <v>581</v>
      </c>
      <c r="T23" t="s">
        <v>1050</v>
      </c>
      <c r="U23" t="s">
        <v>1067</v>
      </c>
      <c r="W23" t="s">
        <v>1297</v>
      </c>
      <c r="X23" t="s">
        <v>1082</v>
      </c>
      <c r="Y23" t="s">
        <v>1078</v>
      </c>
      <c r="Z23" t="s">
        <v>1059</v>
      </c>
      <c r="AC23" t="s">
        <v>1143</v>
      </c>
      <c r="AD23" t="s">
        <v>1148</v>
      </c>
      <c r="AE23" t="s">
        <v>434</v>
      </c>
      <c r="AF23" t="s">
        <v>1155</v>
      </c>
      <c r="AG23" t="s">
        <v>1163</v>
      </c>
      <c r="AH23" t="s">
        <v>1172</v>
      </c>
      <c r="AI23" t="s">
        <v>201</v>
      </c>
      <c r="AJ23" t="s">
        <v>1186</v>
      </c>
      <c r="AK23" t="s">
        <v>1191</v>
      </c>
      <c r="AL23" t="s">
        <v>1210</v>
      </c>
      <c r="AM23" t="s">
        <v>1203</v>
      </c>
      <c r="AN23" t="s">
        <v>1223</v>
      </c>
      <c r="AO23" t="s">
        <v>1216</v>
      </c>
      <c r="AP23" t="s">
        <v>92</v>
      </c>
      <c r="AR23" t="s">
        <v>78</v>
      </c>
      <c r="AS23" t="s">
        <v>1237</v>
      </c>
      <c r="AT23" t="s">
        <v>434</v>
      </c>
      <c r="AU23" t="s">
        <v>1248</v>
      </c>
      <c r="AV23" t="s">
        <v>201</v>
      </c>
      <c r="AW23" t="s">
        <v>1255</v>
      </c>
      <c r="AX23" t="s">
        <v>1262</v>
      </c>
      <c r="AY23" t="str">
        <f>IFERROR(_xlfn.MAXIFS(#REF!,#REF!, CRUD_FirmID,#REF!, "&lt;"&amp;AY22), "-")</f>
        <v>-</v>
      </c>
      <c r="AZ23" t="s">
        <v>201</v>
      </c>
      <c r="BB23" t="s">
        <v>1382</v>
      </c>
      <c r="BC23" t="s">
        <v>1390</v>
      </c>
      <c r="BD23" t="s">
        <v>1397</v>
      </c>
      <c r="BE23" t="s">
        <v>1404</v>
      </c>
      <c r="BF23" t="s">
        <v>1429</v>
      </c>
      <c r="BG23" t="s">
        <v>1429</v>
      </c>
      <c r="BH23" s="445" t="s">
        <v>1583</v>
      </c>
      <c r="BI23" t="s">
        <v>1512</v>
      </c>
      <c r="BJ23" t="s">
        <v>1515</v>
      </c>
      <c r="BK23" t="s">
        <v>1519</v>
      </c>
      <c r="BL23" t="s">
        <v>1515</v>
      </c>
      <c r="BM23" t="s">
        <v>201</v>
      </c>
      <c r="BN23" t="s">
        <v>1531</v>
      </c>
      <c r="BO23" t="s">
        <v>1537</v>
      </c>
      <c r="BP23" t="s">
        <v>1545</v>
      </c>
      <c r="BQ23" t="s">
        <v>1550</v>
      </c>
      <c r="BR23" t="s">
        <v>1555</v>
      </c>
      <c r="BS23" t="s">
        <v>1561</v>
      </c>
      <c r="BT23" t="s">
        <v>1566</v>
      </c>
      <c r="BU23" t="s">
        <v>1506</v>
      </c>
      <c r="BV23" t="s">
        <v>201</v>
      </c>
      <c r="BW23" t="s">
        <v>78</v>
      </c>
      <c r="BX23" t="s">
        <v>434</v>
      </c>
      <c r="BY23" t="s">
        <v>1507</v>
      </c>
      <c r="BZ23" t="s">
        <v>1585</v>
      </c>
      <c r="CA23" t="s">
        <v>1591</v>
      </c>
    </row>
    <row r="24" spans="1:79" x14ac:dyDescent="0.25">
      <c r="A24">
        <v>5</v>
      </c>
      <c r="D24">
        <v>2015</v>
      </c>
      <c r="E24" t="s">
        <v>447</v>
      </c>
      <c r="F24" t="s">
        <v>210</v>
      </c>
      <c r="G24" t="s">
        <v>7</v>
      </c>
      <c r="I24" t="s">
        <v>78</v>
      </c>
      <c r="L24" t="s">
        <v>934</v>
      </c>
      <c r="M24" t="s">
        <v>940</v>
      </c>
      <c r="Q24" t="s">
        <v>78</v>
      </c>
      <c r="R24" t="s">
        <v>581</v>
      </c>
      <c r="T24" t="s">
        <v>1051</v>
      </c>
      <c r="U24" t="s">
        <v>1068</v>
      </c>
      <c r="W24" t="s">
        <v>1089</v>
      </c>
      <c r="X24" t="s">
        <v>1083</v>
      </c>
      <c r="Z24" t="s">
        <v>1060</v>
      </c>
      <c r="AC24" t="s">
        <v>201</v>
      </c>
      <c r="AD24" t="s">
        <v>1149</v>
      </c>
      <c r="AE24" t="s">
        <v>78</v>
      </c>
      <c r="AF24" t="s">
        <v>1156</v>
      </c>
      <c r="AG24" t="s">
        <v>1164</v>
      </c>
      <c r="AH24" t="s">
        <v>434</v>
      </c>
      <c r="AJ24" t="s">
        <v>434</v>
      </c>
      <c r="AK24" t="s">
        <v>1192</v>
      </c>
      <c r="AL24" t="s">
        <v>1211</v>
      </c>
      <c r="AM24" t="s">
        <v>1204</v>
      </c>
      <c r="AN24" t="s">
        <v>1224</v>
      </c>
      <c r="AO24" t="s">
        <v>1217</v>
      </c>
      <c r="AP24" t="s">
        <v>93</v>
      </c>
      <c r="AS24" t="s">
        <v>1238</v>
      </c>
      <c r="AT24" t="s">
        <v>201</v>
      </c>
      <c r="AU24" t="s">
        <v>78</v>
      </c>
      <c r="AV24" t="s">
        <v>206</v>
      </c>
      <c r="AW24" t="s">
        <v>1256</v>
      </c>
      <c r="AX24" t="s">
        <v>1263</v>
      </c>
      <c r="AY24" t="str">
        <f>IFERROR(_xlfn.MAXIFS(#REF!,#REF!, CRUD_FirmID,#REF!, "&lt;"&amp;AY23), "-")</f>
        <v>-</v>
      </c>
      <c r="BB24" t="s">
        <v>1384</v>
      </c>
      <c r="BC24" t="s">
        <v>1391</v>
      </c>
      <c r="BD24" t="s">
        <v>1398</v>
      </c>
      <c r="BE24" t="s">
        <v>1405</v>
      </c>
      <c r="BF24" t="s">
        <v>201</v>
      </c>
      <c r="BG24" t="s">
        <v>201</v>
      </c>
      <c r="BH24" s="445" t="s">
        <v>1568</v>
      </c>
      <c r="BK24" t="s">
        <v>1520</v>
      </c>
      <c r="BN24" t="s">
        <v>1532</v>
      </c>
      <c r="BO24" t="s">
        <v>1538</v>
      </c>
      <c r="BP24" t="s">
        <v>201</v>
      </c>
      <c r="BQ24" t="s">
        <v>78</v>
      </c>
      <c r="BR24" t="s">
        <v>1556</v>
      </c>
      <c r="BS24" t="s">
        <v>201</v>
      </c>
      <c r="BU24" t="s">
        <v>1505</v>
      </c>
      <c r="BY24" t="s">
        <v>1583</v>
      </c>
      <c r="CA24" t="s">
        <v>1203</v>
      </c>
    </row>
    <row r="25" spans="1:79" x14ac:dyDescent="0.25">
      <c r="A25">
        <v>6</v>
      </c>
      <c r="D25">
        <v>2014</v>
      </c>
      <c r="E25" t="s">
        <v>448</v>
      </c>
      <c r="F25" t="s">
        <v>211</v>
      </c>
      <c r="G25" t="s">
        <v>8</v>
      </c>
      <c r="L25" t="s">
        <v>935</v>
      </c>
      <c r="M25" t="s">
        <v>941</v>
      </c>
      <c r="T25" t="s">
        <v>1052</v>
      </c>
      <c r="U25" t="s">
        <v>1069</v>
      </c>
      <c r="Z25" t="s">
        <v>1061</v>
      </c>
      <c r="AD25" t="s">
        <v>1150</v>
      </c>
      <c r="AF25" t="s">
        <v>78</v>
      </c>
      <c r="AG25" t="s">
        <v>1165</v>
      </c>
      <c r="AH25" t="s">
        <v>201</v>
      </c>
      <c r="AJ25" t="s">
        <v>201</v>
      </c>
      <c r="AK25" t="s">
        <v>1193</v>
      </c>
      <c r="AL25" t="s">
        <v>1293</v>
      </c>
      <c r="AM25" t="s">
        <v>201</v>
      </c>
      <c r="AN25" t="s">
        <v>1225</v>
      </c>
      <c r="AP25" t="s">
        <v>500</v>
      </c>
      <c r="AS25" t="s">
        <v>78</v>
      </c>
      <c r="AW25" t="s">
        <v>1290</v>
      </c>
      <c r="AX25" t="s">
        <v>1264</v>
      </c>
      <c r="AY25" t="str">
        <f>IFERROR(_xlfn.MAXIFS(#REF!,#REF!, CRUD_FirmID,#REF!, "&lt;"&amp;AY24), "-")</f>
        <v>-</v>
      </c>
      <c r="BB25" t="s">
        <v>1385</v>
      </c>
      <c r="BC25" t="s">
        <v>1392</v>
      </c>
      <c r="BD25" t="s">
        <v>1399</v>
      </c>
      <c r="BE25" t="s">
        <v>1406</v>
      </c>
      <c r="BH25" s="445" t="s">
        <v>581</v>
      </c>
      <c r="BN25" t="s">
        <v>1533</v>
      </c>
      <c r="BR25" t="s">
        <v>78</v>
      </c>
      <c r="BU25" s="447">
        <v>0</v>
      </c>
      <c r="BY25" t="s">
        <v>1568</v>
      </c>
      <c r="CA25" t="s">
        <v>1592</v>
      </c>
    </row>
    <row r="26" spans="1:79" x14ac:dyDescent="0.25">
      <c r="A26">
        <v>7</v>
      </c>
      <c r="D26">
        <v>2013</v>
      </c>
      <c r="E26" t="s">
        <v>449</v>
      </c>
      <c r="F26" t="s">
        <v>212</v>
      </c>
      <c r="G26" t="s">
        <v>9</v>
      </c>
      <c r="L26" t="s">
        <v>936</v>
      </c>
      <c r="M26" t="s">
        <v>78</v>
      </c>
      <c r="T26" t="s">
        <v>1053</v>
      </c>
      <c r="Z26" t="s">
        <v>1062</v>
      </c>
      <c r="AF26" t="s">
        <v>201</v>
      </c>
      <c r="AG26" t="s">
        <v>1166</v>
      </c>
      <c r="AK26" t="s">
        <v>201</v>
      </c>
      <c r="AL26" t="s">
        <v>201</v>
      </c>
      <c r="AP26" t="s">
        <v>94</v>
      </c>
      <c r="AW26" t="s">
        <v>78</v>
      </c>
      <c r="AY26" t="str">
        <f>IFERROR(_xlfn.MAXIFS(#REF!,#REF!, CRUD_FirmID,#REF!, "&lt;"&amp;AY25), "-")</f>
        <v>-</v>
      </c>
      <c r="BU26" t="s">
        <v>201</v>
      </c>
    </row>
    <row r="27" spans="1:79" x14ac:dyDescent="0.25">
      <c r="A27">
        <v>8</v>
      </c>
      <c r="D27">
        <v>2012</v>
      </c>
      <c r="E27" t="s">
        <v>450</v>
      </c>
      <c r="F27" t="s">
        <v>53</v>
      </c>
      <c r="G27" t="s">
        <v>10</v>
      </c>
      <c r="T27" t="s">
        <v>1054</v>
      </c>
      <c r="AG27" t="s">
        <v>78</v>
      </c>
      <c r="AP27" t="s">
        <v>501</v>
      </c>
      <c r="AY27" t="str">
        <f>IFERROR(_xlfn.MAXIFS(#REF!,#REF!, CRUD_FirmID,#REF!, "&lt;"&amp;AY26), "-")</f>
        <v>-</v>
      </c>
    </row>
    <row r="28" spans="1:79" x14ac:dyDescent="0.25">
      <c r="A28">
        <v>9</v>
      </c>
      <c r="D28">
        <v>2011</v>
      </c>
      <c r="E28" t="s">
        <v>451</v>
      </c>
      <c r="F28" t="s">
        <v>213</v>
      </c>
      <c r="G28" t="s">
        <v>52</v>
      </c>
      <c r="AG28" t="s">
        <v>581</v>
      </c>
      <c r="AP28" t="s">
        <v>502</v>
      </c>
      <c r="AY28" t="str">
        <f>IFERROR(_xlfn.MAXIFS(#REF!,#REF!, CRUD_FirmID,#REF!, "&lt;"&amp;AY27), "-")</f>
        <v>-</v>
      </c>
    </row>
    <row r="29" spans="1:79" x14ac:dyDescent="0.25">
      <c r="A29">
        <v>10</v>
      </c>
      <c r="D29">
        <v>2010</v>
      </c>
      <c r="E29" t="s">
        <v>452</v>
      </c>
      <c r="F29" t="s">
        <v>214</v>
      </c>
      <c r="G29" t="s">
        <v>11</v>
      </c>
      <c r="AP29" t="s">
        <v>95</v>
      </c>
      <c r="AY29" t="str">
        <f>IFERROR(_xlfn.MAXIFS(#REF!,#REF!, CRUD_FirmID,#REF!, "&lt;"&amp;AY28), "-")</f>
        <v>-</v>
      </c>
    </row>
    <row r="30" spans="1:79" x14ac:dyDescent="0.25">
      <c r="A30">
        <v>11</v>
      </c>
      <c r="D30">
        <v>2009</v>
      </c>
      <c r="E30" t="s">
        <v>453</v>
      </c>
      <c r="F30" t="s">
        <v>215</v>
      </c>
      <c r="G30" t="s">
        <v>2</v>
      </c>
      <c r="AP30" t="s">
        <v>503</v>
      </c>
      <c r="AY30" t="str">
        <f>IFERROR(_xlfn.MAXIFS(#REF!,#REF!, CRUD_FirmID,#REF!, "&lt;"&amp;AY29), "-")</f>
        <v>-</v>
      </c>
    </row>
    <row r="31" spans="1:79" x14ac:dyDescent="0.25">
      <c r="A31">
        <v>12</v>
      </c>
      <c r="D31">
        <v>2008</v>
      </c>
      <c r="E31" t="s">
        <v>454</v>
      </c>
      <c r="F31" t="s">
        <v>216</v>
      </c>
      <c r="G31" t="s">
        <v>12</v>
      </c>
      <c r="AP31" t="s">
        <v>78</v>
      </c>
      <c r="AY31" t="str">
        <f>IFERROR(_xlfn.MAXIFS(#REF!,#REF!, CRUD_FirmID,#REF!, "&lt;"&amp;AY30), "-")</f>
        <v>-</v>
      </c>
    </row>
    <row r="32" spans="1:79" x14ac:dyDescent="0.25">
      <c r="A32">
        <v>13</v>
      </c>
      <c r="D32">
        <v>2007</v>
      </c>
      <c r="F32" t="s">
        <v>217</v>
      </c>
      <c r="G32" t="s">
        <v>13</v>
      </c>
      <c r="AY32" t="str">
        <f>IFERROR(_xlfn.MAXIFS(#REF!,#REF!, CRUD_FirmID,#REF!, "&lt;"&amp;AY31), "-")</f>
        <v>-</v>
      </c>
    </row>
    <row r="33" spans="1:51" x14ac:dyDescent="0.25">
      <c r="A33">
        <v>14</v>
      </c>
      <c r="D33">
        <v>2006</v>
      </c>
      <c r="F33" t="s">
        <v>218</v>
      </c>
      <c r="G33" t="s">
        <v>47</v>
      </c>
      <c r="AY33" t="str">
        <f>IFERROR(_xlfn.MAXIFS(#REF!,#REF!, CRUD_FirmID,#REF!, "&lt;"&amp;AY32), "-")</f>
        <v>-</v>
      </c>
    </row>
    <row r="34" spans="1:51" x14ac:dyDescent="0.25">
      <c r="A34">
        <v>15</v>
      </c>
      <c r="D34">
        <v>2005</v>
      </c>
      <c r="F34" t="s">
        <v>219</v>
      </c>
      <c r="G34" t="s">
        <v>46</v>
      </c>
      <c r="AY34" t="str">
        <f>IFERROR(_xlfn.MAXIFS(#REF!,#REF!, CRUD_FirmID,#REF!, "&lt;"&amp;AY33), "-")</f>
        <v>-</v>
      </c>
    </row>
    <row r="35" spans="1:51" x14ac:dyDescent="0.25">
      <c r="A35">
        <v>16</v>
      </c>
      <c r="D35">
        <v>2004</v>
      </c>
      <c r="F35" t="s">
        <v>220</v>
      </c>
      <c r="G35" t="s">
        <v>14</v>
      </c>
      <c r="AY35" t="str">
        <f>IFERROR(_xlfn.MAXIFS(#REF!,#REF!, CRUD_FirmID,#REF!, "&lt;"&amp;AY34), "-")</f>
        <v>-</v>
      </c>
    </row>
    <row r="36" spans="1:51" x14ac:dyDescent="0.25">
      <c r="A36">
        <v>17</v>
      </c>
      <c r="D36">
        <v>2003</v>
      </c>
      <c r="F36" t="s">
        <v>221</v>
      </c>
      <c r="G36" t="s">
        <v>15</v>
      </c>
      <c r="AY36" t="str">
        <f>IFERROR(_xlfn.MAXIFS(#REF!,#REF!, CRUD_FirmID,#REF!, "&lt;"&amp;AY35), "-")</f>
        <v>-</v>
      </c>
    </row>
    <row r="37" spans="1:51" x14ac:dyDescent="0.25">
      <c r="A37">
        <v>18</v>
      </c>
      <c r="D37">
        <v>2002</v>
      </c>
      <c r="F37" t="s">
        <v>222</v>
      </c>
      <c r="G37" t="s">
        <v>16</v>
      </c>
      <c r="AY37" t="str">
        <f>IFERROR(_xlfn.MAXIFS(#REF!,#REF!, CRUD_FirmID,#REF!, "&lt;"&amp;AY36), "-")</f>
        <v>-</v>
      </c>
    </row>
    <row r="38" spans="1:51" x14ac:dyDescent="0.25">
      <c r="A38">
        <v>19</v>
      </c>
      <c r="D38">
        <v>2001</v>
      </c>
      <c r="F38" t="s">
        <v>223</v>
      </c>
      <c r="G38" t="s">
        <v>17</v>
      </c>
      <c r="AY38" t="str">
        <f>IFERROR(_xlfn.MAXIFS(#REF!,#REF!, CRUD_FirmID,#REF!, "&lt;"&amp;AY37), "-")</f>
        <v>-</v>
      </c>
    </row>
    <row r="39" spans="1:51" x14ac:dyDescent="0.25">
      <c r="A39">
        <v>20</v>
      </c>
      <c r="D39">
        <v>2000</v>
      </c>
      <c r="F39" t="s">
        <v>224</v>
      </c>
      <c r="G39" t="s">
        <v>18</v>
      </c>
      <c r="AY39" t="str">
        <f>IFERROR(_xlfn.MAXIFS(#REF!,#REF!, CRUD_FirmID,#REF!, "&lt;"&amp;AY38), "-")</f>
        <v>-</v>
      </c>
    </row>
    <row r="40" spans="1:51" x14ac:dyDescent="0.25">
      <c r="A40">
        <v>21</v>
      </c>
      <c r="D40">
        <v>1999</v>
      </c>
      <c r="F40" t="s">
        <v>225</v>
      </c>
      <c r="G40" t="s">
        <v>19</v>
      </c>
      <c r="AY40" t="str">
        <f>IFERROR(_xlfn.MAXIFS(#REF!,#REF!, CRUD_FirmID,#REF!, "&lt;"&amp;AY39), "-")</f>
        <v>-</v>
      </c>
    </row>
    <row r="41" spans="1:51" x14ac:dyDescent="0.25">
      <c r="A41">
        <v>22</v>
      </c>
      <c r="D41">
        <v>1998</v>
      </c>
      <c r="F41" t="s">
        <v>226</v>
      </c>
      <c r="G41" t="s">
        <v>20</v>
      </c>
      <c r="AY41" t="str">
        <f>IFERROR(_xlfn.MAXIFS(#REF!,#REF!, CRUD_FirmID,#REF!, "&lt;"&amp;AY40), "-")</f>
        <v>-</v>
      </c>
    </row>
    <row r="42" spans="1:51" x14ac:dyDescent="0.25">
      <c r="A42">
        <v>23</v>
      </c>
      <c r="D42">
        <v>1997</v>
      </c>
      <c r="F42" t="s">
        <v>227</v>
      </c>
      <c r="G42" t="s">
        <v>21</v>
      </c>
      <c r="AY42" t="str">
        <f>IFERROR(_xlfn.MAXIFS(#REF!,#REF!, CRUD_FirmID,#REF!, "&lt;"&amp;AY41), "-")</f>
        <v>-</v>
      </c>
    </row>
    <row r="43" spans="1:51" x14ac:dyDescent="0.25">
      <c r="A43">
        <v>24</v>
      </c>
      <c r="D43">
        <v>1996</v>
      </c>
      <c r="F43" t="s">
        <v>228</v>
      </c>
      <c r="G43" t="s">
        <v>22</v>
      </c>
      <c r="AY43" t="str">
        <f>IFERROR(_xlfn.MAXIFS(#REF!,#REF!, CRUD_FirmID,#REF!, "&lt;"&amp;AY42), "-")</f>
        <v>-</v>
      </c>
    </row>
    <row r="44" spans="1:51" x14ac:dyDescent="0.25">
      <c r="A44">
        <v>25</v>
      </c>
      <c r="D44">
        <v>1995</v>
      </c>
      <c r="F44" t="s">
        <v>229</v>
      </c>
      <c r="G44" t="s">
        <v>23</v>
      </c>
      <c r="AY44" t="str">
        <f>IFERROR(_xlfn.MAXIFS(#REF!,#REF!, CRUD_FirmID,#REF!, "&lt;"&amp;AY43), "-")</f>
        <v>-</v>
      </c>
    </row>
    <row r="45" spans="1:51" x14ac:dyDescent="0.25">
      <c r="A45">
        <v>26</v>
      </c>
      <c r="D45">
        <v>1994</v>
      </c>
      <c r="F45" t="s">
        <v>230</v>
      </c>
      <c r="G45" t="s">
        <v>24</v>
      </c>
      <c r="AY45" t="str">
        <f>IFERROR(_xlfn.MAXIFS(#REF!,#REF!, CRUD_FirmID,#REF!, "&lt;"&amp;AY44), "-")</f>
        <v>-</v>
      </c>
    </row>
    <row r="46" spans="1:51" x14ac:dyDescent="0.25">
      <c r="A46">
        <v>27</v>
      </c>
      <c r="F46" t="s">
        <v>231</v>
      </c>
      <c r="G46" t="s">
        <v>49</v>
      </c>
      <c r="AY46" t="str">
        <f>IFERROR(_xlfn.MAXIFS(#REF!,#REF!, CRUD_FirmID,#REF!, "&lt;"&amp;AY45), "-")</f>
        <v>-</v>
      </c>
    </row>
    <row r="47" spans="1:51" x14ac:dyDescent="0.25">
      <c r="A47">
        <v>28</v>
      </c>
      <c r="F47" t="s">
        <v>232</v>
      </c>
      <c r="G47" t="s">
        <v>48</v>
      </c>
      <c r="AY47" t="str">
        <f>IFERROR(_xlfn.MAXIFS(#REF!,#REF!, CRUD_FirmID,#REF!, "&lt;"&amp;AY46), "-")</f>
        <v>-</v>
      </c>
    </row>
    <row r="48" spans="1:51" x14ac:dyDescent="0.25">
      <c r="A48">
        <v>29</v>
      </c>
      <c r="F48" t="s">
        <v>233</v>
      </c>
      <c r="G48" t="s">
        <v>25</v>
      </c>
      <c r="AY48" t="str">
        <f>IFERROR(_xlfn.MAXIFS(#REF!,#REF!, CRUD_FirmID,#REF!, "&lt;"&amp;AY47), "-")</f>
        <v>-</v>
      </c>
    </row>
    <row r="49" spans="1:51" x14ac:dyDescent="0.25">
      <c r="A49">
        <v>30</v>
      </c>
      <c r="F49" t="s">
        <v>234</v>
      </c>
      <c r="G49" t="s">
        <v>26</v>
      </c>
      <c r="AY49" t="str">
        <f>IFERROR(_xlfn.MAXIFS(#REF!,#REF!, CRUD_FirmID,#REF!, "&lt;"&amp;AY48), "-")</f>
        <v>-</v>
      </c>
    </row>
    <row r="50" spans="1:51" x14ac:dyDescent="0.25">
      <c r="A50">
        <v>31</v>
      </c>
      <c r="F50" t="s">
        <v>161</v>
      </c>
      <c r="G50" t="s">
        <v>27</v>
      </c>
      <c r="AY50" t="str">
        <f>IFERROR(_xlfn.MAXIFS(#REF!,#REF!, CRUD_FirmID,#REF!, "&lt;"&amp;AY49), "-")</f>
        <v>-</v>
      </c>
    </row>
    <row r="51" spans="1:51" x14ac:dyDescent="0.25">
      <c r="A51">
        <v>32</v>
      </c>
      <c r="F51" t="s">
        <v>235</v>
      </c>
      <c r="G51" t="s">
        <v>28</v>
      </c>
      <c r="AY51" t="str">
        <f>IFERROR(_xlfn.MAXIFS(#REF!,#REF!, CRUD_FirmID,#REF!, "&lt;"&amp;AY50), "-")</f>
        <v>-</v>
      </c>
    </row>
    <row r="52" spans="1:51" x14ac:dyDescent="0.25">
      <c r="A52">
        <v>33</v>
      </c>
      <c r="F52" t="s">
        <v>236</v>
      </c>
      <c r="G52" t="s">
        <v>29</v>
      </c>
      <c r="AY52" t="str">
        <f>IFERROR(_xlfn.MAXIFS(#REF!,#REF!, CRUD_FirmID,#REF!, "&lt;"&amp;AY51), "-")</f>
        <v>-</v>
      </c>
    </row>
    <row r="53" spans="1:51" x14ac:dyDescent="0.25">
      <c r="A53">
        <v>34</v>
      </c>
      <c r="F53" t="s">
        <v>237</v>
      </c>
      <c r="G53" t="s">
        <v>30</v>
      </c>
      <c r="AY53" t="str">
        <f>IFERROR(_xlfn.MAXIFS(#REF!,#REF!, CRUD_FirmID,#REF!, "&lt;"&amp;AY52), "-")</f>
        <v>-</v>
      </c>
    </row>
    <row r="54" spans="1:51" x14ac:dyDescent="0.25">
      <c r="A54">
        <v>35</v>
      </c>
      <c r="F54" t="s">
        <v>238</v>
      </c>
      <c r="G54" t="s">
        <v>31</v>
      </c>
      <c r="AY54" t="str">
        <f>IFERROR(_xlfn.MAXIFS(#REF!,#REF!, CRUD_FirmID,#REF!, "&lt;"&amp;AY53), "-")</f>
        <v>-</v>
      </c>
    </row>
    <row r="55" spans="1:51" x14ac:dyDescent="0.25">
      <c r="A55">
        <v>36</v>
      </c>
      <c r="F55" t="s">
        <v>239</v>
      </c>
      <c r="G55" t="s">
        <v>32</v>
      </c>
      <c r="AY55" t="str">
        <f>IFERROR(_xlfn.MAXIFS(#REF!,#REF!, CRUD_FirmID,#REF!, "&lt;"&amp;AY54), "-")</f>
        <v>-</v>
      </c>
    </row>
    <row r="56" spans="1:51" x14ac:dyDescent="0.25">
      <c r="A56">
        <v>37</v>
      </c>
      <c r="F56" t="s">
        <v>240</v>
      </c>
      <c r="G56" t="s">
        <v>33</v>
      </c>
      <c r="AY56" t="str">
        <f>IFERROR(_xlfn.MAXIFS(#REF!,#REF!, CRUD_FirmID,#REF!, "&lt;"&amp;AY55), "-")</f>
        <v>-</v>
      </c>
    </row>
    <row r="57" spans="1:51" x14ac:dyDescent="0.25">
      <c r="A57">
        <v>38</v>
      </c>
      <c r="F57" t="s">
        <v>241</v>
      </c>
      <c r="G57" t="s">
        <v>34</v>
      </c>
      <c r="AY57" t="str">
        <f>IFERROR(_xlfn.MAXIFS(#REF!,#REF!, CRUD_FirmID,#REF!, "&lt;"&amp;AY56), "-")</f>
        <v>-</v>
      </c>
    </row>
    <row r="58" spans="1:51" x14ac:dyDescent="0.25">
      <c r="A58">
        <v>39</v>
      </c>
      <c r="F58" t="s">
        <v>242</v>
      </c>
      <c r="G58" t="s">
        <v>51</v>
      </c>
      <c r="AY58" t="str">
        <f>IFERROR(_xlfn.MAXIFS(#REF!,#REF!, CRUD_FirmID,#REF!, "&lt;"&amp;AY57), "-")</f>
        <v>-</v>
      </c>
    </row>
    <row r="59" spans="1:51" x14ac:dyDescent="0.25">
      <c r="A59">
        <v>40</v>
      </c>
      <c r="F59" t="s">
        <v>243</v>
      </c>
      <c r="G59" t="s">
        <v>50</v>
      </c>
      <c r="AY59" t="str">
        <f>IFERROR(_xlfn.MAXIFS(#REF!,#REF!, CRUD_FirmID,#REF!, "&lt;"&amp;AY58), "-")</f>
        <v>-</v>
      </c>
    </row>
    <row r="60" spans="1:51" x14ac:dyDescent="0.25">
      <c r="A60">
        <v>41</v>
      </c>
      <c r="F60" t="s">
        <v>244</v>
      </c>
      <c r="G60" t="s">
        <v>35</v>
      </c>
      <c r="AY60" t="str">
        <f>IFERROR(_xlfn.MAXIFS(#REF!,#REF!, CRUD_FirmID,#REF!, "&lt;"&amp;AY59), "-")</f>
        <v>-</v>
      </c>
    </row>
    <row r="61" spans="1:51" x14ac:dyDescent="0.25">
      <c r="A61">
        <v>42</v>
      </c>
      <c r="F61" t="s">
        <v>245</v>
      </c>
      <c r="G61" t="s">
        <v>36</v>
      </c>
      <c r="AY61" t="str">
        <f>IFERROR(_xlfn.MAXIFS(#REF!,#REF!, CRUD_FirmID,#REF!, "&lt;"&amp;AY60), "-")</f>
        <v>-</v>
      </c>
    </row>
    <row r="62" spans="1:51" x14ac:dyDescent="0.25">
      <c r="A62">
        <v>43</v>
      </c>
      <c r="F62" t="s">
        <v>246</v>
      </c>
      <c r="G62" t="s">
        <v>37</v>
      </c>
      <c r="AY62" t="str">
        <f>IFERROR(_xlfn.MAXIFS(#REF!,#REF!, CRUD_FirmID,#REF!, "&lt;"&amp;AY61), "-")</f>
        <v>-</v>
      </c>
    </row>
    <row r="63" spans="1:51" x14ac:dyDescent="0.25">
      <c r="A63">
        <v>44</v>
      </c>
      <c r="F63" t="s">
        <v>247</v>
      </c>
      <c r="G63" t="s">
        <v>38</v>
      </c>
      <c r="AY63" t="str">
        <f>IFERROR(_xlfn.MAXIFS(#REF!,#REF!, CRUD_FirmID,#REF!, "&lt;"&amp;AY62), "-")</f>
        <v>-</v>
      </c>
    </row>
    <row r="64" spans="1:51" x14ac:dyDescent="0.25">
      <c r="A64">
        <v>45</v>
      </c>
      <c r="F64" t="s">
        <v>168</v>
      </c>
      <c r="G64" t="s">
        <v>39</v>
      </c>
      <c r="AY64" t="str">
        <f>IFERROR(_xlfn.MAXIFS(#REF!,#REF!, CRUD_FirmID,#REF!, "&lt;"&amp;AY63), "-")</f>
        <v>-</v>
      </c>
    </row>
    <row r="65" spans="1:51" x14ac:dyDescent="0.25">
      <c r="A65">
        <v>46</v>
      </c>
      <c r="F65" t="s">
        <v>248</v>
      </c>
      <c r="G65" t="s">
        <v>40</v>
      </c>
      <c r="AY65" t="str">
        <f>IFERROR(_xlfn.MAXIFS(#REF!,#REF!, CRUD_FirmID,#REF!, "&lt;"&amp;AY64), "-")</f>
        <v>-</v>
      </c>
    </row>
    <row r="66" spans="1:51" x14ac:dyDescent="0.25">
      <c r="A66">
        <v>47</v>
      </c>
      <c r="F66" t="s">
        <v>249</v>
      </c>
      <c r="G66" t="s">
        <v>41</v>
      </c>
      <c r="AY66" t="str">
        <f>IFERROR(_xlfn.MAXIFS(#REF!,#REF!, CRUD_FirmID,#REF!, "&lt;"&amp;AY65), "-")</f>
        <v>-</v>
      </c>
    </row>
    <row r="67" spans="1:51" x14ac:dyDescent="0.25">
      <c r="A67">
        <v>48</v>
      </c>
      <c r="F67" t="s">
        <v>250</v>
      </c>
      <c r="G67" t="s">
        <v>42</v>
      </c>
      <c r="AY67" t="str">
        <f>IFERROR(_xlfn.MAXIFS(#REF!,#REF!, CRUD_FirmID,#REF!, "&lt;"&amp;AY66), "-")</f>
        <v>-</v>
      </c>
    </row>
    <row r="68" spans="1:51" x14ac:dyDescent="0.25">
      <c r="A68">
        <v>49</v>
      </c>
      <c r="F68" t="s">
        <v>251</v>
      </c>
      <c r="G68" t="s">
        <v>43</v>
      </c>
      <c r="AY68" t="str">
        <f>IFERROR(_xlfn.MAXIFS(#REF!,#REF!, CRUD_FirmID,#REF!, "&lt;"&amp;AY67), "-")</f>
        <v>-</v>
      </c>
    </row>
    <row r="69" spans="1:51" x14ac:dyDescent="0.25">
      <c r="A69">
        <v>50</v>
      </c>
      <c r="F69" t="s">
        <v>252</v>
      </c>
      <c r="G69" t="s">
        <v>44</v>
      </c>
      <c r="AY69" t="str">
        <f>IFERROR(_xlfn.MAXIFS(#REF!,#REF!, CRUD_FirmID,#REF!, "&lt;"&amp;AY68), "-")</f>
        <v>-</v>
      </c>
    </row>
    <row r="70" spans="1:51" x14ac:dyDescent="0.25">
      <c r="A70">
        <v>51</v>
      </c>
      <c r="F70" t="s">
        <v>253</v>
      </c>
      <c r="G70" t="s">
        <v>45</v>
      </c>
      <c r="AY70" t="str">
        <f>IFERROR(_xlfn.MAXIFS(#REF!,#REF!, CRUD_FirmID,#REF!, "&lt;"&amp;AY69), "-")</f>
        <v>-</v>
      </c>
    </row>
    <row r="71" spans="1:51" x14ac:dyDescent="0.25">
      <c r="A71">
        <v>52</v>
      </c>
      <c r="F71" t="s">
        <v>254</v>
      </c>
      <c r="G71" t="s">
        <v>58</v>
      </c>
      <c r="AY71" t="str">
        <f>IFERROR(_xlfn.MAXIFS(#REF!,#REF!, CRUD_FirmID,#REF!, "&lt;"&amp;AY70), "-")</f>
        <v>-</v>
      </c>
    </row>
    <row r="72" spans="1:51" x14ac:dyDescent="0.25">
      <c r="A72">
        <v>53</v>
      </c>
      <c r="F72" t="s">
        <v>255</v>
      </c>
      <c r="G72" t="s">
        <v>53</v>
      </c>
      <c r="AY72" t="str">
        <f>IFERROR(_xlfn.MAXIFS(#REF!,#REF!, CRUD_FirmID,#REF!, "&lt;"&amp;AY71), "-")</f>
        <v>-</v>
      </c>
    </row>
    <row r="73" spans="1:51" x14ac:dyDescent="0.25">
      <c r="A73">
        <v>54</v>
      </c>
      <c r="F73" t="s">
        <v>256</v>
      </c>
      <c r="G73" t="s">
        <v>54</v>
      </c>
      <c r="AY73" t="str">
        <f>IFERROR(_xlfn.MAXIFS(#REF!,#REF!, CRUD_FirmID,#REF!, "&lt;"&amp;AY72), "-")</f>
        <v>-</v>
      </c>
    </row>
    <row r="74" spans="1:51" x14ac:dyDescent="0.25">
      <c r="A74">
        <v>55</v>
      </c>
      <c r="F74" t="s">
        <v>257</v>
      </c>
      <c r="G74" t="s">
        <v>55</v>
      </c>
      <c r="AY74" t="str">
        <f>IFERROR(_xlfn.MAXIFS(#REF!,#REF!, CRUD_FirmID,#REF!, "&lt;"&amp;AY73), "-")</f>
        <v>-</v>
      </c>
    </row>
    <row r="75" spans="1:51" x14ac:dyDescent="0.25">
      <c r="A75">
        <v>56</v>
      </c>
      <c r="F75" t="s">
        <v>258</v>
      </c>
      <c r="G75" t="s">
        <v>56</v>
      </c>
      <c r="AY75" t="str">
        <f>IFERROR(_xlfn.MAXIFS(#REF!,#REF!, CRUD_FirmID,#REF!, "&lt;"&amp;AY74), "-")</f>
        <v>-</v>
      </c>
    </row>
    <row r="76" spans="1:51" x14ac:dyDescent="0.25">
      <c r="A76">
        <v>57</v>
      </c>
      <c r="F76" t="s">
        <v>259</v>
      </c>
      <c r="G76" t="s">
        <v>57</v>
      </c>
      <c r="AY76" t="str">
        <f>IFERROR(_xlfn.MAXIFS(#REF!,#REF!, CRUD_FirmID,#REF!, "&lt;"&amp;AY75), "-")</f>
        <v>-</v>
      </c>
    </row>
    <row r="77" spans="1:51" x14ac:dyDescent="0.25">
      <c r="A77">
        <v>58</v>
      </c>
      <c r="F77" t="s">
        <v>260</v>
      </c>
      <c r="AY77" t="str">
        <f>IFERROR(_xlfn.MAXIFS(#REF!,#REF!, CRUD_FirmID,#REF!, "&lt;"&amp;AY76), "-")</f>
        <v>-</v>
      </c>
    </row>
    <row r="78" spans="1:51" x14ac:dyDescent="0.25">
      <c r="A78">
        <v>59</v>
      </c>
      <c r="F78" t="s">
        <v>261</v>
      </c>
      <c r="AY78" t="str">
        <f>IFERROR(_xlfn.MAXIFS(#REF!,#REF!, CRUD_FirmID,#REF!, "&lt;"&amp;AY77), "-")</f>
        <v>-</v>
      </c>
    </row>
    <row r="79" spans="1:51" x14ac:dyDescent="0.25">
      <c r="A79">
        <v>60</v>
      </c>
      <c r="F79" t="s">
        <v>262</v>
      </c>
      <c r="AY79" t="str">
        <f>IFERROR(_xlfn.MAXIFS(#REF!,#REF!, CRUD_FirmID,#REF!, "&lt;"&amp;AY78), "-")</f>
        <v>-</v>
      </c>
    </row>
    <row r="80" spans="1:51" x14ac:dyDescent="0.25">
      <c r="A80">
        <v>61</v>
      </c>
      <c r="F80" t="s">
        <v>263</v>
      </c>
      <c r="AY80" t="str">
        <f>IFERROR(_xlfn.MAXIFS(#REF!,#REF!, CRUD_FirmID,#REF!, "&lt;"&amp;AY79), "-")</f>
        <v>-</v>
      </c>
    </row>
    <row r="81" spans="1:51" x14ac:dyDescent="0.25">
      <c r="A81">
        <v>62</v>
      </c>
      <c r="F81" t="s">
        <v>264</v>
      </c>
      <c r="AY81" t="str">
        <f>IFERROR(_xlfn.MAXIFS(#REF!,#REF!, CRUD_FirmID,#REF!, "&lt;"&amp;AY80), "-")</f>
        <v>-</v>
      </c>
    </row>
    <row r="82" spans="1:51" x14ac:dyDescent="0.25">
      <c r="A82">
        <v>63</v>
      </c>
      <c r="F82" t="s">
        <v>265</v>
      </c>
      <c r="AY82" t="str">
        <f>IFERROR(_xlfn.MAXIFS(#REF!,#REF!, CRUD_FirmID,#REF!, "&lt;"&amp;AY81), "-")</f>
        <v>-</v>
      </c>
    </row>
    <row r="83" spans="1:51" x14ac:dyDescent="0.25">
      <c r="A83">
        <v>64</v>
      </c>
      <c r="F83" t="s">
        <v>266</v>
      </c>
      <c r="AY83" t="str">
        <f>IFERROR(_xlfn.MAXIFS(#REF!,#REF!, CRUD_FirmID,#REF!, "&lt;"&amp;AY82), "-")</f>
        <v>-</v>
      </c>
    </row>
    <row r="84" spans="1:51" x14ac:dyDescent="0.25">
      <c r="A84">
        <v>65</v>
      </c>
      <c r="F84" t="s">
        <v>267</v>
      </c>
      <c r="AY84" t="str">
        <f>IFERROR(_xlfn.MAXIFS(#REF!,#REF!, CRUD_FirmID,#REF!, "&lt;"&amp;AY83), "-")</f>
        <v>-</v>
      </c>
    </row>
    <row r="85" spans="1:51" x14ac:dyDescent="0.25">
      <c r="A85">
        <v>66</v>
      </c>
      <c r="F85" t="s">
        <v>268</v>
      </c>
      <c r="AY85" t="str">
        <f>IFERROR(_xlfn.MAXIFS(#REF!,#REF!, CRUD_FirmID,#REF!, "&lt;"&amp;AY84), "-")</f>
        <v>-</v>
      </c>
    </row>
    <row r="86" spans="1:51" x14ac:dyDescent="0.25">
      <c r="A86">
        <v>67</v>
      </c>
      <c r="F86" t="s">
        <v>269</v>
      </c>
      <c r="AY86" t="str">
        <f>IFERROR(_xlfn.MAXIFS(#REF!,#REF!, CRUD_FirmID,#REF!, "&lt;"&amp;AY85), "-")</f>
        <v>-</v>
      </c>
    </row>
    <row r="87" spans="1:51" x14ac:dyDescent="0.25">
      <c r="A87">
        <v>68</v>
      </c>
      <c r="F87" t="s">
        <v>270</v>
      </c>
      <c r="AY87" t="str">
        <f>IFERROR(_xlfn.MAXIFS(#REF!,#REF!, CRUD_FirmID,#REF!, "&lt;"&amp;AY86), "-")</f>
        <v>-</v>
      </c>
    </row>
    <row r="88" spans="1:51" x14ac:dyDescent="0.25">
      <c r="A88">
        <v>69</v>
      </c>
      <c r="F88" t="s">
        <v>271</v>
      </c>
      <c r="AY88" t="str">
        <f>IFERROR(_xlfn.MAXIFS(#REF!,#REF!, CRUD_FirmID,#REF!, "&lt;"&amp;AY87), "-")</f>
        <v>-</v>
      </c>
    </row>
    <row r="89" spans="1:51" x14ac:dyDescent="0.25">
      <c r="A89">
        <v>70</v>
      </c>
      <c r="F89" t="s">
        <v>272</v>
      </c>
      <c r="AY89" t="str">
        <f>IFERROR(_xlfn.MAXIFS(#REF!,#REF!, CRUD_FirmID,#REF!, "&lt;"&amp;AY88), "-")</f>
        <v>-</v>
      </c>
    </row>
    <row r="90" spans="1:51" x14ac:dyDescent="0.25">
      <c r="A90">
        <v>71</v>
      </c>
      <c r="F90" t="s">
        <v>273</v>
      </c>
      <c r="AY90" t="str">
        <f>IFERROR(_xlfn.MAXIFS(#REF!,#REF!, CRUD_FirmID,#REF!, "&lt;"&amp;AY89), "-")</f>
        <v>-</v>
      </c>
    </row>
    <row r="91" spans="1:51" x14ac:dyDescent="0.25">
      <c r="A91">
        <v>72</v>
      </c>
      <c r="F91" t="s">
        <v>274</v>
      </c>
      <c r="AY91" t="str">
        <f>IFERROR(_xlfn.MAXIFS(#REF!,#REF!, CRUD_FirmID,#REF!, "&lt;"&amp;AY90), "-")</f>
        <v>-</v>
      </c>
    </row>
    <row r="92" spans="1:51" x14ac:dyDescent="0.25">
      <c r="A92">
        <v>73</v>
      </c>
      <c r="F92" t="s">
        <v>275</v>
      </c>
      <c r="AY92" t="str">
        <f>IFERROR(_xlfn.MAXIFS(#REF!,#REF!, CRUD_FirmID,#REF!, "&lt;"&amp;AY91), "-")</f>
        <v>-</v>
      </c>
    </row>
    <row r="93" spans="1:51" x14ac:dyDescent="0.25">
      <c r="A93">
        <v>74</v>
      </c>
      <c r="F93" t="s">
        <v>276</v>
      </c>
      <c r="AY93" t="str">
        <f>IFERROR(_xlfn.MAXIFS(#REF!,#REF!, CRUD_FirmID,#REF!, "&lt;"&amp;AY92), "-")</f>
        <v>-</v>
      </c>
    </row>
    <row r="94" spans="1:51" x14ac:dyDescent="0.25">
      <c r="A94">
        <v>75</v>
      </c>
      <c r="F94" t="s">
        <v>277</v>
      </c>
      <c r="AY94" t="str">
        <f>IFERROR(_xlfn.MAXIFS(#REF!,#REF!, CRUD_FirmID,#REF!, "&lt;"&amp;AY93), "-")</f>
        <v>-</v>
      </c>
    </row>
    <row r="95" spans="1:51" x14ac:dyDescent="0.25">
      <c r="A95">
        <v>76</v>
      </c>
      <c r="F95" t="s">
        <v>278</v>
      </c>
      <c r="AY95" t="str">
        <f>IFERROR(_xlfn.MAXIFS(#REF!,#REF!, CRUD_FirmID,#REF!, "&lt;"&amp;AY94), "-")</f>
        <v>-</v>
      </c>
    </row>
    <row r="96" spans="1:51" x14ac:dyDescent="0.25">
      <c r="A96">
        <v>77</v>
      </c>
      <c r="F96" t="s">
        <v>279</v>
      </c>
      <c r="AY96" t="str">
        <f>IFERROR(_xlfn.MAXIFS(#REF!,#REF!, CRUD_FirmID,#REF!, "&lt;"&amp;AY95), "-")</f>
        <v>-</v>
      </c>
    </row>
    <row r="97" spans="1:51" x14ac:dyDescent="0.25">
      <c r="A97">
        <v>78</v>
      </c>
      <c r="F97" t="s">
        <v>280</v>
      </c>
      <c r="AY97" t="str">
        <f>IFERROR(_xlfn.MAXIFS(#REF!,#REF!, CRUD_FirmID,#REF!, "&lt;"&amp;AY96), "-")</f>
        <v>-</v>
      </c>
    </row>
    <row r="98" spans="1:51" x14ac:dyDescent="0.25">
      <c r="A98">
        <v>79</v>
      </c>
      <c r="F98" t="s">
        <v>281</v>
      </c>
      <c r="AY98" t="str">
        <f>IFERROR(_xlfn.MAXIFS(#REF!,#REF!, CRUD_FirmID,#REF!, "&lt;"&amp;AY97), "-")</f>
        <v>-</v>
      </c>
    </row>
    <row r="99" spans="1:51" x14ac:dyDescent="0.25">
      <c r="A99">
        <v>80</v>
      </c>
      <c r="F99" t="s">
        <v>282</v>
      </c>
      <c r="AY99" t="str">
        <f>IFERROR(_xlfn.MAXIFS(#REF!,#REF!, CRUD_FirmID,#REF!, "&lt;"&amp;AY98), "-")</f>
        <v>-</v>
      </c>
    </row>
    <row r="100" spans="1:51" x14ac:dyDescent="0.25">
      <c r="A100">
        <v>81</v>
      </c>
      <c r="F100" t="s">
        <v>283</v>
      </c>
      <c r="AY100" t="str">
        <f>IFERROR(_xlfn.MAXIFS(#REF!,#REF!, CRUD_FirmID,#REF!, "&lt;"&amp;AY99), "-")</f>
        <v>-</v>
      </c>
    </row>
    <row r="101" spans="1:51" x14ac:dyDescent="0.25">
      <c r="A101">
        <v>82</v>
      </c>
      <c r="F101" t="s">
        <v>284</v>
      </c>
      <c r="AY101" t="str">
        <f>IFERROR(_xlfn.MAXIFS(#REF!,#REF!, CRUD_FirmID,#REF!, "&lt;"&amp;AY100), "-")</f>
        <v>-</v>
      </c>
    </row>
    <row r="102" spans="1:51" x14ac:dyDescent="0.25">
      <c r="A102">
        <v>83</v>
      </c>
      <c r="F102" t="s">
        <v>285</v>
      </c>
      <c r="AY102" t="str">
        <f>IFERROR(_xlfn.MAXIFS(#REF!,#REF!, CRUD_FirmID,#REF!, "&lt;"&amp;AY101), "-")</f>
        <v>-</v>
      </c>
    </row>
    <row r="103" spans="1:51" x14ac:dyDescent="0.25">
      <c r="A103">
        <v>84</v>
      </c>
      <c r="F103" t="s">
        <v>286</v>
      </c>
      <c r="AY103" t="str">
        <f>IFERROR(_xlfn.MAXIFS(#REF!,#REF!, CRUD_FirmID,#REF!, "&lt;"&amp;AY102), "-")</f>
        <v>-</v>
      </c>
    </row>
    <row r="104" spans="1:51" x14ac:dyDescent="0.25">
      <c r="A104">
        <v>85</v>
      </c>
      <c r="F104" t="s">
        <v>287</v>
      </c>
      <c r="AY104" t="str">
        <f>IFERROR(_xlfn.MAXIFS(#REF!,#REF!, CRUD_FirmID,#REF!, "&lt;"&amp;AY103), "-")</f>
        <v>-</v>
      </c>
    </row>
    <row r="105" spans="1:51" x14ac:dyDescent="0.25">
      <c r="A105">
        <v>86</v>
      </c>
      <c r="F105" t="s">
        <v>54</v>
      </c>
      <c r="AY105" t="str">
        <f>IFERROR(_xlfn.MAXIFS(#REF!,#REF!, CRUD_FirmID,#REF!, "&lt;"&amp;AY104), "-")</f>
        <v>-</v>
      </c>
    </row>
    <row r="106" spans="1:51" x14ac:dyDescent="0.25">
      <c r="A106">
        <v>87</v>
      </c>
      <c r="F106" t="s">
        <v>288</v>
      </c>
      <c r="AY106" t="str">
        <f>IFERROR(_xlfn.MAXIFS(#REF!,#REF!, CRUD_FirmID,#REF!, "&lt;"&amp;AY105), "-")</f>
        <v>-</v>
      </c>
    </row>
    <row r="107" spans="1:51" x14ac:dyDescent="0.25">
      <c r="A107">
        <v>88</v>
      </c>
      <c r="F107" t="s">
        <v>289</v>
      </c>
      <c r="AY107" t="str">
        <f>IFERROR(_xlfn.MAXIFS(#REF!,#REF!, CRUD_FirmID,#REF!, "&lt;"&amp;AY106), "-")</f>
        <v>-</v>
      </c>
    </row>
    <row r="108" spans="1:51" x14ac:dyDescent="0.25">
      <c r="A108">
        <v>89</v>
      </c>
      <c r="F108" t="s">
        <v>290</v>
      </c>
      <c r="AY108" t="str">
        <f>IFERROR(_xlfn.MAXIFS(#REF!,#REF!, CRUD_FirmID,#REF!, "&lt;"&amp;AY107), "-")</f>
        <v>-</v>
      </c>
    </row>
    <row r="109" spans="1:51" x14ac:dyDescent="0.25">
      <c r="A109">
        <v>90</v>
      </c>
      <c r="F109" t="s">
        <v>291</v>
      </c>
      <c r="AY109" t="str">
        <f>IFERROR(_xlfn.MAXIFS(#REF!,#REF!, CRUD_FirmID,#REF!, "&lt;"&amp;AY108), "-")</f>
        <v>-</v>
      </c>
    </row>
    <row r="110" spans="1:51" x14ac:dyDescent="0.25">
      <c r="A110">
        <v>91</v>
      </c>
      <c r="F110" t="s">
        <v>292</v>
      </c>
      <c r="AY110" t="str">
        <f>IFERROR(_xlfn.MAXIFS(#REF!,#REF!, CRUD_FirmID,#REF!, "&lt;"&amp;AY109), "-")</f>
        <v>-</v>
      </c>
    </row>
    <row r="111" spans="1:51" x14ac:dyDescent="0.25">
      <c r="A111">
        <v>92</v>
      </c>
      <c r="F111" t="s">
        <v>293</v>
      </c>
      <c r="AY111" t="str">
        <f>IFERROR(_xlfn.MAXIFS(#REF!,#REF!, CRUD_FirmID,#REF!, "&lt;"&amp;AY110), "-")</f>
        <v>-</v>
      </c>
    </row>
    <row r="112" spans="1:51" x14ac:dyDescent="0.25">
      <c r="A112">
        <v>93</v>
      </c>
      <c r="F112" t="s">
        <v>294</v>
      </c>
      <c r="AY112" t="str">
        <f>IFERROR(_xlfn.MAXIFS(#REF!,#REF!, CRUD_FirmID,#REF!, "&lt;"&amp;AY111), "-")</f>
        <v>-</v>
      </c>
    </row>
    <row r="113" spans="1:51" x14ac:dyDescent="0.25">
      <c r="A113">
        <v>94</v>
      </c>
      <c r="F113" t="s">
        <v>295</v>
      </c>
      <c r="AY113" t="str">
        <f>IFERROR(_xlfn.MAXIFS(#REF!,#REF!, CRUD_FirmID,#REF!, "&lt;"&amp;AY112), "-")</f>
        <v>-</v>
      </c>
    </row>
    <row r="114" spans="1:51" x14ac:dyDescent="0.25">
      <c r="A114">
        <v>95</v>
      </c>
      <c r="F114" t="s">
        <v>296</v>
      </c>
      <c r="AY114" t="str">
        <f>IFERROR(_xlfn.MAXIFS(#REF!,#REF!, CRUD_FirmID,#REF!, "&lt;"&amp;AY113), "-")</f>
        <v>-</v>
      </c>
    </row>
    <row r="115" spans="1:51" x14ac:dyDescent="0.25">
      <c r="A115">
        <v>96</v>
      </c>
      <c r="F115" t="s">
        <v>297</v>
      </c>
      <c r="AY115" t="str">
        <f>IFERROR(_xlfn.MAXIFS(#REF!,#REF!, CRUD_FirmID,#REF!, "&lt;"&amp;AY114), "-")</f>
        <v>-</v>
      </c>
    </row>
    <row r="116" spans="1:51" x14ac:dyDescent="0.25">
      <c r="A116">
        <v>97</v>
      </c>
      <c r="F116" t="s">
        <v>169</v>
      </c>
      <c r="AY116" t="str">
        <f>IFERROR(_xlfn.MAXIFS(#REF!,#REF!, CRUD_FirmID,#REF!, "&lt;"&amp;AY115), "-")</f>
        <v>-</v>
      </c>
    </row>
    <row r="117" spans="1:51" x14ac:dyDescent="0.25">
      <c r="A117">
        <v>98</v>
      </c>
      <c r="F117" t="s">
        <v>298</v>
      </c>
      <c r="AY117" t="str">
        <f>IFERROR(_xlfn.MAXIFS(#REF!,#REF!, CRUD_FirmID,#REF!, "&lt;"&amp;AY116), "-")</f>
        <v>-</v>
      </c>
    </row>
    <row r="118" spans="1:51" x14ac:dyDescent="0.25">
      <c r="A118">
        <v>99</v>
      </c>
      <c r="F118" t="s">
        <v>299</v>
      </c>
      <c r="AY118" t="str">
        <f>IFERROR(_xlfn.MAXIFS(#REF!,#REF!, CRUD_FirmID,#REF!, "&lt;"&amp;AY117), "-")</f>
        <v>-</v>
      </c>
    </row>
    <row r="119" spans="1:51" x14ac:dyDescent="0.25">
      <c r="A119">
        <v>100</v>
      </c>
      <c r="F119" t="s">
        <v>300</v>
      </c>
      <c r="AY119" t="str">
        <f>IFERROR(_xlfn.MAXIFS(#REF!,#REF!, CRUD_FirmID,#REF!, "&lt;"&amp;AY118), "-")</f>
        <v>-</v>
      </c>
    </row>
    <row r="120" spans="1:51" x14ac:dyDescent="0.25">
      <c r="A120">
        <v>101</v>
      </c>
      <c r="F120" t="s">
        <v>301</v>
      </c>
      <c r="AY120" t="str">
        <f>IFERROR(_xlfn.MAXIFS(#REF!,#REF!, CRUD_FirmID,#REF!, "&lt;"&amp;AY119), "-")</f>
        <v>-</v>
      </c>
    </row>
    <row r="121" spans="1:51" x14ac:dyDescent="0.25">
      <c r="A121">
        <v>102</v>
      </c>
      <c r="F121" t="s">
        <v>302</v>
      </c>
      <c r="AY121" t="str">
        <f>IFERROR(_xlfn.MAXIFS(#REF!,#REF!, CRUD_FirmID,#REF!, "&lt;"&amp;AY120), "-")</f>
        <v>-</v>
      </c>
    </row>
    <row r="122" spans="1:51" x14ac:dyDescent="0.25">
      <c r="A122">
        <v>103</v>
      </c>
      <c r="F122" t="s">
        <v>303</v>
      </c>
      <c r="AY122" t="str">
        <f>IFERROR(_xlfn.MAXIFS(#REF!,#REF!, CRUD_FirmID,#REF!, "&lt;"&amp;AY121), "-")</f>
        <v>-</v>
      </c>
    </row>
    <row r="123" spans="1:51" x14ac:dyDescent="0.25">
      <c r="A123">
        <v>104</v>
      </c>
      <c r="F123" t="s">
        <v>304</v>
      </c>
      <c r="AY123" t="str">
        <f>IFERROR(_xlfn.MAXIFS(#REF!,#REF!, CRUD_FirmID,#REF!, "&lt;"&amp;AY122), "-")</f>
        <v>-</v>
      </c>
    </row>
    <row r="124" spans="1:51" x14ac:dyDescent="0.25">
      <c r="A124">
        <v>105</v>
      </c>
      <c r="F124" t="s">
        <v>305</v>
      </c>
      <c r="AY124" t="str">
        <f>IFERROR(_xlfn.MAXIFS(#REF!,#REF!, CRUD_FirmID,#REF!, "&lt;"&amp;AY123), "-")</f>
        <v>-</v>
      </c>
    </row>
    <row r="125" spans="1:51" x14ac:dyDescent="0.25">
      <c r="A125">
        <v>106</v>
      </c>
      <c r="F125" t="s">
        <v>306</v>
      </c>
      <c r="AY125" t="str">
        <f>IFERROR(_xlfn.MAXIFS(#REF!,#REF!, CRUD_FirmID,#REF!, "&lt;"&amp;AY124), "-")</f>
        <v>-</v>
      </c>
    </row>
    <row r="126" spans="1:51" x14ac:dyDescent="0.25">
      <c r="A126">
        <v>107</v>
      </c>
      <c r="F126" t="s">
        <v>307</v>
      </c>
      <c r="AY126" t="str">
        <f>IFERROR(_xlfn.MAXIFS(#REF!,#REF!, CRUD_FirmID,#REF!, "&lt;"&amp;AY125), "-")</f>
        <v>-</v>
      </c>
    </row>
    <row r="127" spans="1:51" x14ac:dyDescent="0.25">
      <c r="A127">
        <v>108</v>
      </c>
      <c r="F127" t="s">
        <v>308</v>
      </c>
      <c r="AY127" t="str">
        <f>IFERROR(_xlfn.MAXIFS(#REF!,#REF!, CRUD_FirmID,#REF!, "&lt;"&amp;AY126), "-")</f>
        <v>-</v>
      </c>
    </row>
    <row r="128" spans="1:51" x14ac:dyDescent="0.25">
      <c r="A128">
        <v>109</v>
      </c>
      <c r="F128" t="s">
        <v>309</v>
      </c>
      <c r="AY128" t="str">
        <f>IFERROR(_xlfn.MAXIFS(#REF!,#REF!, CRUD_FirmID,#REF!, "&lt;"&amp;AY127), "-")</f>
        <v>-</v>
      </c>
    </row>
    <row r="129" spans="1:51" x14ac:dyDescent="0.25">
      <c r="A129">
        <v>110</v>
      </c>
      <c r="F129" t="s">
        <v>310</v>
      </c>
      <c r="AY129" t="str">
        <f>IFERROR(_xlfn.MAXIFS(#REF!,#REF!, CRUD_FirmID,#REF!, "&lt;"&amp;AY128), "-")</f>
        <v>-</v>
      </c>
    </row>
    <row r="130" spans="1:51" x14ac:dyDescent="0.25">
      <c r="A130">
        <v>111</v>
      </c>
      <c r="F130" t="s">
        <v>311</v>
      </c>
      <c r="AY130" t="str">
        <f>IFERROR(_xlfn.MAXIFS(#REF!,#REF!, CRUD_FirmID,#REF!, "&lt;"&amp;AY129), "-")</f>
        <v>-</v>
      </c>
    </row>
    <row r="131" spans="1:51" x14ac:dyDescent="0.25">
      <c r="A131">
        <v>112</v>
      </c>
      <c r="F131" t="s">
        <v>312</v>
      </c>
      <c r="AY131" t="str">
        <f>IFERROR(_xlfn.MAXIFS(#REF!,#REF!, CRUD_FirmID,#REF!, "&lt;"&amp;AY130), "-")</f>
        <v>-</v>
      </c>
    </row>
    <row r="132" spans="1:51" x14ac:dyDescent="0.25">
      <c r="A132">
        <v>113</v>
      </c>
      <c r="F132" t="s">
        <v>313</v>
      </c>
      <c r="AY132" t="str">
        <f>IFERROR(_xlfn.MAXIFS(#REF!,#REF!, CRUD_FirmID,#REF!, "&lt;"&amp;AY131), "-")</f>
        <v>-</v>
      </c>
    </row>
    <row r="133" spans="1:51" x14ac:dyDescent="0.25">
      <c r="A133">
        <v>114</v>
      </c>
      <c r="F133" t="s">
        <v>314</v>
      </c>
      <c r="AY133" t="str">
        <f>IFERROR(_xlfn.MAXIFS(#REF!,#REF!, CRUD_FirmID,#REF!, "&lt;"&amp;AY132), "-")</f>
        <v>-</v>
      </c>
    </row>
    <row r="134" spans="1:51" x14ac:dyDescent="0.25">
      <c r="A134">
        <v>115</v>
      </c>
      <c r="F134" t="s">
        <v>315</v>
      </c>
      <c r="AY134" t="str">
        <f>IFERROR(_xlfn.MAXIFS(#REF!,#REF!, CRUD_FirmID,#REF!, "&lt;"&amp;AY133), "-")</f>
        <v>-</v>
      </c>
    </row>
    <row r="135" spans="1:51" x14ac:dyDescent="0.25">
      <c r="A135">
        <v>116</v>
      </c>
      <c r="F135" t="s">
        <v>316</v>
      </c>
      <c r="AY135" t="str">
        <f>IFERROR(_xlfn.MAXIFS(#REF!,#REF!, CRUD_FirmID,#REF!, "&lt;"&amp;AY134), "-")</f>
        <v>-</v>
      </c>
    </row>
    <row r="136" spans="1:51" x14ac:dyDescent="0.25">
      <c r="A136">
        <v>117</v>
      </c>
      <c r="F136" t="s">
        <v>317</v>
      </c>
      <c r="AY136" t="str">
        <f>IFERROR(_xlfn.MAXIFS(#REF!,#REF!, CRUD_FirmID,#REF!, "&lt;"&amp;AY135), "-")</f>
        <v>-</v>
      </c>
    </row>
    <row r="137" spans="1:51" x14ac:dyDescent="0.25">
      <c r="A137">
        <v>118</v>
      </c>
      <c r="F137" t="s">
        <v>318</v>
      </c>
      <c r="AY137" t="str">
        <f>IFERROR(_xlfn.MAXIFS(#REF!,#REF!, CRUD_FirmID,#REF!, "&lt;"&amp;AY136), "-")</f>
        <v>-</v>
      </c>
    </row>
    <row r="138" spans="1:51" x14ac:dyDescent="0.25">
      <c r="A138">
        <v>119</v>
      </c>
      <c r="F138" t="s">
        <v>319</v>
      </c>
      <c r="AY138" t="str">
        <f>IFERROR(_xlfn.MAXIFS(#REF!,#REF!, CRUD_FirmID,#REF!, "&lt;"&amp;AY137), "-")</f>
        <v>-</v>
      </c>
    </row>
    <row r="139" spans="1:51" x14ac:dyDescent="0.25">
      <c r="A139">
        <v>120</v>
      </c>
      <c r="F139" t="s">
        <v>320</v>
      </c>
      <c r="AY139" t="str">
        <f>IFERROR(_xlfn.MAXIFS(#REF!,#REF!, CRUD_FirmID,#REF!, "&lt;"&amp;AY138), "-")</f>
        <v>-</v>
      </c>
    </row>
    <row r="140" spans="1:51" x14ac:dyDescent="0.25">
      <c r="A140">
        <v>121</v>
      </c>
      <c r="F140" t="s">
        <v>321</v>
      </c>
      <c r="AY140" t="str">
        <f>IFERROR(_xlfn.MAXIFS(#REF!,#REF!, CRUD_FirmID,#REF!, "&lt;"&amp;AY139), "-")</f>
        <v>-</v>
      </c>
    </row>
    <row r="141" spans="1:51" x14ac:dyDescent="0.25">
      <c r="A141">
        <v>122</v>
      </c>
      <c r="F141" t="s">
        <v>322</v>
      </c>
      <c r="AY141" t="str">
        <f>IFERROR(_xlfn.MAXIFS(#REF!,#REF!, CRUD_FirmID,#REF!, "&lt;"&amp;AY140), "-")</f>
        <v>-</v>
      </c>
    </row>
    <row r="142" spans="1:51" x14ac:dyDescent="0.25">
      <c r="A142">
        <v>123</v>
      </c>
      <c r="F142" t="s">
        <v>323</v>
      </c>
      <c r="AY142" t="str">
        <f>IFERROR(_xlfn.MAXIFS(#REF!,#REF!, CRUD_FirmID,#REF!, "&lt;"&amp;AY141), "-")</f>
        <v>-</v>
      </c>
    </row>
    <row r="143" spans="1:51" x14ac:dyDescent="0.25">
      <c r="A143">
        <v>124</v>
      </c>
      <c r="F143" t="s">
        <v>324</v>
      </c>
      <c r="AY143" t="str">
        <f>IFERROR(_xlfn.MAXIFS(#REF!,#REF!, CRUD_FirmID,#REF!, "&lt;"&amp;AY142), "-")</f>
        <v>-</v>
      </c>
    </row>
    <row r="144" spans="1:51" x14ac:dyDescent="0.25">
      <c r="A144">
        <v>125</v>
      </c>
      <c r="F144" t="s">
        <v>325</v>
      </c>
      <c r="AY144" t="str">
        <f>IFERROR(_xlfn.MAXIFS(#REF!,#REF!, CRUD_FirmID,#REF!, "&lt;"&amp;AY143), "-")</f>
        <v>-</v>
      </c>
    </row>
    <row r="145" spans="1:51" x14ac:dyDescent="0.25">
      <c r="A145">
        <v>126</v>
      </c>
      <c r="F145" t="s">
        <v>326</v>
      </c>
      <c r="AY145" t="str">
        <f>IFERROR(_xlfn.MAXIFS(#REF!,#REF!, CRUD_FirmID,#REF!, "&lt;"&amp;AY144), "-")</f>
        <v>-</v>
      </c>
    </row>
    <row r="146" spans="1:51" x14ac:dyDescent="0.25">
      <c r="A146">
        <v>127</v>
      </c>
      <c r="F146" t="s">
        <v>327</v>
      </c>
      <c r="AY146" t="str">
        <f>IFERROR(_xlfn.MAXIFS(#REF!,#REF!, CRUD_FirmID,#REF!, "&lt;"&amp;AY145), "-")</f>
        <v>-</v>
      </c>
    </row>
    <row r="147" spans="1:51" x14ac:dyDescent="0.25">
      <c r="A147">
        <v>128</v>
      </c>
      <c r="F147" t="s">
        <v>328</v>
      </c>
      <c r="AY147" t="str">
        <f>IFERROR(_xlfn.MAXIFS(#REF!,#REF!, CRUD_FirmID,#REF!, "&lt;"&amp;AY146), "-")</f>
        <v>-</v>
      </c>
    </row>
    <row r="148" spans="1:51" x14ac:dyDescent="0.25">
      <c r="A148">
        <v>129</v>
      </c>
      <c r="F148" t="s">
        <v>329</v>
      </c>
      <c r="AY148" t="str">
        <f>IFERROR(_xlfn.MAXIFS(#REF!,#REF!, CRUD_FirmID,#REF!, "&lt;"&amp;AY147), "-")</f>
        <v>-</v>
      </c>
    </row>
    <row r="149" spans="1:51" x14ac:dyDescent="0.25">
      <c r="A149">
        <v>130</v>
      </c>
      <c r="F149" t="s">
        <v>330</v>
      </c>
      <c r="AY149" t="str">
        <f>IFERROR(_xlfn.MAXIFS(#REF!,#REF!, CRUD_FirmID,#REF!, "&lt;"&amp;AY148), "-")</f>
        <v>-</v>
      </c>
    </row>
    <row r="150" spans="1:51" x14ac:dyDescent="0.25">
      <c r="A150">
        <v>131</v>
      </c>
      <c r="F150" t="s">
        <v>331</v>
      </c>
      <c r="AY150" t="str">
        <f>IFERROR(_xlfn.MAXIFS(#REF!,#REF!, CRUD_FirmID,#REF!, "&lt;"&amp;AY149), "-")</f>
        <v>-</v>
      </c>
    </row>
    <row r="151" spans="1:51" x14ac:dyDescent="0.25">
      <c r="A151">
        <v>132</v>
      </c>
      <c r="F151" t="s">
        <v>332</v>
      </c>
      <c r="AY151" t="str">
        <f>IFERROR(_xlfn.MAXIFS(#REF!,#REF!, CRUD_FirmID,#REF!, "&lt;"&amp;AY150), "-")</f>
        <v>-</v>
      </c>
    </row>
    <row r="152" spans="1:51" x14ac:dyDescent="0.25">
      <c r="A152">
        <v>133</v>
      </c>
      <c r="F152" t="s">
        <v>333</v>
      </c>
      <c r="AY152" t="str">
        <f>IFERROR(_xlfn.MAXIFS(#REF!,#REF!, CRUD_FirmID,#REF!, "&lt;"&amp;AY151), "-")</f>
        <v>-</v>
      </c>
    </row>
    <row r="153" spans="1:51" x14ac:dyDescent="0.25">
      <c r="A153">
        <v>134</v>
      </c>
      <c r="F153" t="s">
        <v>334</v>
      </c>
      <c r="AY153" t="str">
        <f>IFERROR(_xlfn.MAXIFS(#REF!,#REF!, CRUD_FirmID,#REF!, "&lt;"&amp;AY152), "-")</f>
        <v>-</v>
      </c>
    </row>
    <row r="154" spans="1:51" x14ac:dyDescent="0.25">
      <c r="A154">
        <v>135</v>
      </c>
      <c r="F154" t="s">
        <v>335</v>
      </c>
      <c r="AY154" t="str">
        <f>IFERROR(_xlfn.MAXIFS(#REF!,#REF!, CRUD_FirmID,#REF!, "&lt;"&amp;AY153), "-")</f>
        <v>-</v>
      </c>
    </row>
    <row r="155" spans="1:51" x14ac:dyDescent="0.25">
      <c r="A155">
        <v>136</v>
      </c>
      <c r="F155" t="s">
        <v>336</v>
      </c>
      <c r="AY155" t="str">
        <f>IFERROR(_xlfn.MAXIFS(#REF!,#REF!, CRUD_FirmID,#REF!, "&lt;"&amp;AY154), "-")</f>
        <v>-</v>
      </c>
    </row>
    <row r="156" spans="1:51" x14ac:dyDescent="0.25">
      <c r="A156">
        <v>137</v>
      </c>
      <c r="F156" t="s">
        <v>337</v>
      </c>
      <c r="AY156" t="str">
        <f>IFERROR(_xlfn.MAXIFS(#REF!,#REF!, CRUD_FirmID,#REF!, "&lt;"&amp;AY155), "-")</f>
        <v>-</v>
      </c>
    </row>
    <row r="157" spans="1:51" x14ac:dyDescent="0.25">
      <c r="A157">
        <v>138</v>
      </c>
      <c r="F157" t="s">
        <v>338</v>
      </c>
      <c r="AY157" t="str">
        <f>IFERROR(_xlfn.MAXIFS(#REF!,#REF!, CRUD_FirmID,#REF!, "&lt;"&amp;AY156), "-")</f>
        <v>-</v>
      </c>
    </row>
    <row r="158" spans="1:51" x14ac:dyDescent="0.25">
      <c r="A158">
        <v>139</v>
      </c>
      <c r="F158" t="s">
        <v>339</v>
      </c>
      <c r="AY158" t="str">
        <f>IFERROR(_xlfn.MAXIFS(#REF!,#REF!, CRUD_FirmID,#REF!, "&lt;"&amp;AY157), "-")</f>
        <v>-</v>
      </c>
    </row>
    <row r="159" spans="1:51" x14ac:dyDescent="0.25">
      <c r="A159">
        <v>140</v>
      </c>
      <c r="F159" t="s">
        <v>340</v>
      </c>
      <c r="AY159" t="str">
        <f>IFERROR(_xlfn.MAXIFS(#REF!,#REF!, CRUD_FirmID,#REF!, "&lt;"&amp;AY158), "-")</f>
        <v>-</v>
      </c>
    </row>
    <row r="160" spans="1:51" x14ac:dyDescent="0.25">
      <c r="A160">
        <v>141</v>
      </c>
      <c r="F160" t="s">
        <v>341</v>
      </c>
      <c r="AY160" t="str">
        <f>IFERROR(_xlfn.MAXIFS(#REF!,#REF!, CRUD_FirmID,#REF!, "&lt;"&amp;AY159), "-")</f>
        <v>-</v>
      </c>
    </row>
    <row r="161" spans="1:51" x14ac:dyDescent="0.25">
      <c r="A161">
        <v>142</v>
      </c>
      <c r="F161" t="s">
        <v>342</v>
      </c>
      <c r="AY161" t="str">
        <f>IFERROR(_xlfn.MAXIFS(#REF!,#REF!, CRUD_FirmID,#REF!, "&lt;"&amp;AY160), "-")</f>
        <v>-</v>
      </c>
    </row>
    <row r="162" spans="1:51" x14ac:dyDescent="0.25">
      <c r="A162">
        <v>143</v>
      </c>
      <c r="F162" t="s">
        <v>343</v>
      </c>
      <c r="AY162" t="str">
        <f>IFERROR(_xlfn.MAXIFS(#REF!,#REF!, CRUD_FirmID,#REF!, "&lt;"&amp;AY161), "-")</f>
        <v>-</v>
      </c>
    </row>
    <row r="163" spans="1:51" x14ac:dyDescent="0.25">
      <c r="A163">
        <v>144</v>
      </c>
      <c r="F163" t="s">
        <v>344</v>
      </c>
      <c r="AY163" t="str">
        <f>IFERROR(_xlfn.MAXIFS(#REF!,#REF!, CRUD_FirmID,#REF!, "&lt;"&amp;AY162), "-")</f>
        <v>-</v>
      </c>
    </row>
    <row r="164" spans="1:51" x14ac:dyDescent="0.25">
      <c r="A164">
        <v>145</v>
      </c>
      <c r="F164" t="s">
        <v>345</v>
      </c>
      <c r="AY164" t="str">
        <f>IFERROR(_xlfn.MAXIFS(#REF!,#REF!, CRUD_FirmID,#REF!, "&lt;"&amp;AY163), "-")</f>
        <v>-</v>
      </c>
    </row>
    <row r="165" spans="1:51" x14ac:dyDescent="0.25">
      <c r="A165">
        <v>146</v>
      </c>
      <c r="F165" t="s">
        <v>346</v>
      </c>
      <c r="AY165" t="str">
        <f>IFERROR(_xlfn.MAXIFS(#REF!,#REF!, CRUD_FirmID,#REF!, "&lt;"&amp;AY164), "-")</f>
        <v>-</v>
      </c>
    </row>
    <row r="166" spans="1:51" x14ac:dyDescent="0.25">
      <c r="A166">
        <v>147</v>
      </c>
      <c r="F166" t="s">
        <v>347</v>
      </c>
      <c r="AY166" t="str">
        <f>IFERROR(_xlfn.MAXIFS(#REF!,#REF!, CRUD_FirmID,#REF!, "&lt;"&amp;AY165), "-")</f>
        <v>-</v>
      </c>
    </row>
    <row r="167" spans="1:51" x14ac:dyDescent="0.25">
      <c r="A167">
        <v>148</v>
      </c>
      <c r="F167" t="s">
        <v>348</v>
      </c>
      <c r="AY167" t="str">
        <f>IFERROR(_xlfn.MAXIFS(#REF!,#REF!, CRUD_FirmID,#REF!, "&lt;"&amp;AY166), "-")</f>
        <v>-</v>
      </c>
    </row>
    <row r="168" spans="1:51" x14ac:dyDescent="0.25">
      <c r="A168">
        <v>149</v>
      </c>
      <c r="F168" t="s">
        <v>349</v>
      </c>
      <c r="AY168" t="str">
        <f>IFERROR(_xlfn.MAXIFS(#REF!,#REF!, CRUD_FirmID,#REF!, "&lt;"&amp;AY167), "-")</f>
        <v>-</v>
      </c>
    </row>
    <row r="169" spans="1:51" x14ac:dyDescent="0.25">
      <c r="A169">
        <v>150</v>
      </c>
      <c r="F169" t="s">
        <v>350</v>
      </c>
      <c r="AY169" t="str">
        <f>IFERROR(_xlfn.MAXIFS(#REF!,#REF!, CRUD_FirmID,#REF!, "&lt;"&amp;AY168), "-")</f>
        <v>-</v>
      </c>
    </row>
    <row r="170" spans="1:51" x14ac:dyDescent="0.25">
      <c r="A170">
        <v>151</v>
      </c>
      <c r="F170" t="s">
        <v>351</v>
      </c>
      <c r="AY170" t="str">
        <f>IFERROR(_xlfn.MAXIFS(#REF!,#REF!, CRUD_FirmID,#REF!, "&lt;"&amp;AY169), "-")</f>
        <v>-</v>
      </c>
    </row>
    <row r="171" spans="1:51" x14ac:dyDescent="0.25">
      <c r="A171">
        <v>152</v>
      </c>
      <c r="F171" t="s">
        <v>352</v>
      </c>
      <c r="AY171" t="str">
        <f>IFERROR(_xlfn.MAXIFS(#REF!,#REF!, CRUD_FirmID,#REF!, "&lt;"&amp;AY170), "-")</f>
        <v>-</v>
      </c>
    </row>
    <row r="172" spans="1:51" x14ac:dyDescent="0.25">
      <c r="A172">
        <v>153</v>
      </c>
      <c r="F172" t="s">
        <v>353</v>
      </c>
      <c r="AY172" t="str">
        <f>IFERROR(_xlfn.MAXIFS(#REF!,#REF!, CRUD_FirmID,#REF!, "&lt;"&amp;AY171), "-")</f>
        <v>-</v>
      </c>
    </row>
    <row r="173" spans="1:51" x14ac:dyDescent="0.25">
      <c r="A173">
        <v>154</v>
      </c>
      <c r="F173" t="s">
        <v>354</v>
      </c>
      <c r="AY173" t="str">
        <f>IFERROR(_xlfn.MAXIFS(#REF!,#REF!, CRUD_FirmID,#REF!, "&lt;"&amp;AY172), "-")</f>
        <v>-</v>
      </c>
    </row>
    <row r="174" spans="1:51" x14ac:dyDescent="0.25">
      <c r="A174">
        <v>155</v>
      </c>
      <c r="F174" t="s">
        <v>355</v>
      </c>
      <c r="AY174" t="str">
        <f>IFERROR(_xlfn.MAXIFS(#REF!,#REF!, CRUD_FirmID,#REF!, "&lt;"&amp;AY173), "-")</f>
        <v>-</v>
      </c>
    </row>
    <row r="175" spans="1:51" x14ac:dyDescent="0.25">
      <c r="A175">
        <v>156</v>
      </c>
      <c r="F175" t="s">
        <v>356</v>
      </c>
      <c r="AY175" t="str">
        <f>IFERROR(_xlfn.MAXIFS(#REF!,#REF!, CRUD_FirmID,#REF!, "&lt;"&amp;AY174), "-")</f>
        <v>-</v>
      </c>
    </row>
    <row r="176" spans="1:51" x14ac:dyDescent="0.25">
      <c r="A176">
        <v>157</v>
      </c>
      <c r="F176" t="s">
        <v>357</v>
      </c>
      <c r="AY176" t="str">
        <f>IFERROR(_xlfn.MAXIFS(#REF!,#REF!, CRUD_FirmID,#REF!, "&lt;"&amp;AY175), "-")</f>
        <v>-</v>
      </c>
    </row>
    <row r="177" spans="1:51" x14ac:dyDescent="0.25">
      <c r="A177">
        <v>158</v>
      </c>
      <c r="F177" t="s">
        <v>358</v>
      </c>
      <c r="AY177" t="str">
        <f>IFERROR(_xlfn.MAXIFS(#REF!,#REF!, CRUD_FirmID,#REF!, "&lt;"&amp;AY176), "-")</f>
        <v>-</v>
      </c>
    </row>
    <row r="178" spans="1:51" x14ac:dyDescent="0.25">
      <c r="A178">
        <v>159</v>
      </c>
      <c r="F178" t="s">
        <v>359</v>
      </c>
      <c r="AY178" t="str">
        <f>IFERROR(_xlfn.MAXIFS(#REF!,#REF!, CRUD_FirmID,#REF!, "&lt;"&amp;AY177), "-")</f>
        <v>-</v>
      </c>
    </row>
    <row r="179" spans="1:51" x14ac:dyDescent="0.25">
      <c r="A179">
        <v>160</v>
      </c>
      <c r="F179" t="s">
        <v>360</v>
      </c>
      <c r="AY179" t="str">
        <f>IFERROR(_xlfn.MAXIFS(#REF!,#REF!, CRUD_FirmID,#REF!, "&lt;"&amp;AY178), "-")</f>
        <v>-</v>
      </c>
    </row>
    <row r="180" spans="1:51" x14ac:dyDescent="0.25">
      <c r="A180">
        <v>161</v>
      </c>
      <c r="F180" t="s">
        <v>361</v>
      </c>
      <c r="AY180" t="str">
        <f>IFERROR(_xlfn.MAXIFS(#REF!,#REF!, CRUD_FirmID,#REF!, "&lt;"&amp;AY179), "-")</f>
        <v>-</v>
      </c>
    </row>
    <row r="181" spans="1:51" x14ac:dyDescent="0.25">
      <c r="A181">
        <v>162</v>
      </c>
      <c r="F181" t="s">
        <v>362</v>
      </c>
      <c r="AY181" t="str">
        <f>IFERROR(_xlfn.MAXIFS(#REF!,#REF!, CRUD_FirmID,#REF!, "&lt;"&amp;AY180), "-")</f>
        <v>-</v>
      </c>
    </row>
    <row r="182" spans="1:51" x14ac:dyDescent="0.25">
      <c r="A182">
        <v>163</v>
      </c>
      <c r="F182" t="s">
        <v>363</v>
      </c>
      <c r="AY182" t="str">
        <f>IFERROR(_xlfn.MAXIFS(#REF!,#REF!, CRUD_FirmID,#REF!, "&lt;"&amp;AY181), "-")</f>
        <v>-</v>
      </c>
    </row>
    <row r="183" spans="1:51" x14ac:dyDescent="0.25">
      <c r="A183">
        <v>164</v>
      </c>
      <c r="F183" t="s">
        <v>364</v>
      </c>
      <c r="AY183" t="str">
        <f>IFERROR(_xlfn.MAXIFS(#REF!,#REF!, CRUD_FirmID,#REF!, "&lt;"&amp;AY182), "-")</f>
        <v>-</v>
      </c>
    </row>
    <row r="184" spans="1:51" x14ac:dyDescent="0.25">
      <c r="A184">
        <v>165</v>
      </c>
      <c r="F184" t="s">
        <v>365</v>
      </c>
      <c r="AY184" t="str">
        <f>IFERROR(_xlfn.MAXIFS(#REF!,#REF!, CRUD_FirmID,#REF!, "&lt;"&amp;AY183), "-")</f>
        <v>-</v>
      </c>
    </row>
    <row r="185" spans="1:51" x14ac:dyDescent="0.25">
      <c r="A185">
        <v>166</v>
      </c>
      <c r="F185" t="s">
        <v>366</v>
      </c>
      <c r="AY185" t="str">
        <f>IFERROR(_xlfn.MAXIFS(#REF!,#REF!, CRUD_FirmID,#REF!, "&lt;"&amp;AY184), "-")</f>
        <v>-</v>
      </c>
    </row>
    <row r="186" spans="1:51" x14ac:dyDescent="0.25">
      <c r="A186">
        <v>167</v>
      </c>
      <c r="F186" t="s">
        <v>367</v>
      </c>
      <c r="AY186" t="str">
        <f>IFERROR(_xlfn.MAXIFS(#REF!,#REF!, CRUD_FirmID,#REF!, "&lt;"&amp;AY185), "-")</f>
        <v>-</v>
      </c>
    </row>
    <row r="187" spans="1:51" x14ac:dyDescent="0.25">
      <c r="A187">
        <v>168</v>
      </c>
      <c r="F187" t="s">
        <v>58</v>
      </c>
      <c r="AY187" t="str">
        <f>IFERROR(_xlfn.MAXIFS(#REF!,#REF!, CRUD_FirmID,#REF!, "&lt;"&amp;AY186), "-")</f>
        <v>-</v>
      </c>
    </row>
    <row r="188" spans="1:51" x14ac:dyDescent="0.25">
      <c r="A188">
        <v>169</v>
      </c>
      <c r="F188" t="s">
        <v>368</v>
      </c>
      <c r="AY188" t="str">
        <f>IFERROR(_xlfn.MAXIFS(#REF!,#REF!, CRUD_FirmID,#REF!, "&lt;"&amp;AY187), "-")</f>
        <v>-</v>
      </c>
    </row>
    <row r="189" spans="1:51" x14ac:dyDescent="0.25">
      <c r="A189">
        <v>170</v>
      </c>
      <c r="F189" t="s">
        <v>369</v>
      </c>
      <c r="AY189" t="str">
        <f>IFERROR(_xlfn.MAXIFS(#REF!,#REF!, CRUD_FirmID,#REF!, "&lt;"&amp;AY188), "-")</f>
        <v>-</v>
      </c>
    </row>
    <row r="190" spans="1:51" x14ac:dyDescent="0.25">
      <c r="A190">
        <v>171</v>
      </c>
      <c r="F190" t="s">
        <v>370</v>
      </c>
      <c r="AY190" t="str">
        <f>IFERROR(_xlfn.MAXIFS(#REF!,#REF!, CRUD_FirmID,#REF!, "&lt;"&amp;AY189), "-")</f>
        <v>-</v>
      </c>
    </row>
    <row r="191" spans="1:51" x14ac:dyDescent="0.25">
      <c r="A191">
        <v>172</v>
      </c>
      <c r="F191" t="s">
        <v>164</v>
      </c>
      <c r="AY191" t="str">
        <f>IFERROR(_xlfn.MAXIFS(#REF!,#REF!, CRUD_FirmID,#REF!, "&lt;"&amp;AY190), "-")</f>
        <v>-</v>
      </c>
    </row>
    <row r="192" spans="1:51" x14ac:dyDescent="0.25">
      <c r="A192">
        <v>173</v>
      </c>
      <c r="F192" t="s">
        <v>371</v>
      </c>
      <c r="AY192" t="str">
        <f>IFERROR(_xlfn.MAXIFS(#REF!,#REF!, CRUD_FirmID,#REF!, "&lt;"&amp;AY191), "-")</f>
        <v>-</v>
      </c>
    </row>
    <row r="193" spans="1:51" x14ac:dyDescent="0.25">
      <c r="A193">
        <v>174</v>
      </c>
      <c r="F193" t="s">
        <v>372</v>
      </c>
      <c r="AY193" t="str">
        <f>IFERROR(_xlfn.MAXIFS(#REF!,#REF!, CRUD_FirmID,#REF!, "&lt;"&amp;AY192), "-")</f>
        <v>-</v>
      </c>
    </row>
    <row r="194" spans="1:51" x14ac:dyDescent="0.25">
      <c r="A194">
        <v>175</v>
      </c>
      <c r="F194" t="s">
        <v>373</v>
      </c>
      <c r="AY194" t="str">
        <f>IFERROR(_xlfn.MAXIFS(#REF!,#REF!, CRUD_FirmID,#REF!, "&lt;"&amp;AY193), "-")</f>
        <v>-</v>
      </c>
    </row>
    <row r="195" spans="1:51" x14ac:dyDescent="0.25">
      <c r="A195">
        <v>176</v>
      </c>
      <c r="F195" t="s">
        <v>374</v>
      </c>
      <c r="AY195" t="str">
        <f>IFERROR(_xlfn.MAXIFS(#REF!,#REF!, CRUD_FirmID,#REF!, "&lt;"&amp;AY194), "-")</f>
        <v>-</v>
      </c>
    </row>
    <row r="196" spans="1:51" x14ac:dyDescent="0.25">
      <c r="A196">
        <v>177</v>
      </c>
      <c r="F196" t="s">
        <v>375</v>
      </c>
      <c r="AY196" t="str">
        <f>IFERROR(_xlfn.MAXIFS(#REF!,#REF!, CRUD_FirmID,#REF!, "&lt;"&amp;AY195), "-")</f>
        <v>-</v>
      </c>
    </row>
    <row r="197" spans="1:51" x14ac:dyDescent="0.25">
      <c r="A197">
        <v>178</v>
      </c>
      <c r="F197" t="s">
        <v>376</v>
      </c>
      <c r="AY197" t="str">
        <f>IFERROR(_xlfn.MAXIFS(#REF!,#REF!, CRUD_FirmID,#REF!, "&lt;"&amp;AY196), "-")</f>
        <v>-</v>
      </c>
    </row>
    <row r="198" spans="1:51" x14ac:dyDescent="0.25">
      <c r="A198">
        <v>179</v>
      </c>
      <c r="F198" t="s">
        <v>377</v>
      </c>
      <c r="AY198" t="str">
        <f>IFERROR(_xlfn.MAXIFS(#REF!,#REF!, CRUD_FirmID,#REF!, "&lt;"&amp;AY197), "-")</f>
        <v>-</v>
      </c>
    </row>
    <row r="199" spans="1:51" x14ac:dyDescent="0.25">
      <c r="A199">
        <v>180</v>
      </c>
      <c r="F199" t="s">
        <v>378</v>
      </c>
      <c r="AY199" t="str">
        <f>IFERROR(_xlfn.MAXIFS(#REF!,#REF!, CRUD_FirmID,#REF!, "&lt;"&amp;AY198), "-")</f>
        <v>-</v>
      </c>
    </row>
    <row r="200" spans="1:51" x14ac:dyDescent="0.25">
      <c r="A200">
        <v>181</v>
      </c>
      <c r="F200" t="s">
        <v>379</v>
      </c>
      <c r="AY200" t="str">
        <f>IFERROR(_xlfn.MAXIFS(#REF!,#REF!, CRUD_FirmID,#REF!, "&lt;"&amp;AY199), "-")</f>
        <v>-</v>
      </c>
    </row>
    <row r="201" spans="1:51" x14ac:dyDescent="0.25">
      <c r="A201">
        <v>182</v>
      </c>
      <c r="F201" t="s">
        <v>380</v>
      </c>
      <c r="AY201" t="str">
        <f>IFERROR(_xlfn.MAXIFS(#REF!,#REF!, CRUD_FirmID,#REF!, "&lt;"&amp;AY200), "-")</f>
        <v>-</v>
      </c>
    </row>
    <row r="202" spans="1:51" x14ac:dyDescent="0.25">
      <c r="A202">
        <v>183</v>
      </c>
      <c r="F202" t="s">
        <v>381</v>
      </c>
      <c r="AY202" t="str">
        <f>IFERROR(_xlfn.MAXIFS(#REF!,#REF!, CRUD_FirmID,#REF!, "&lt;"&amp;AY201), "-")</f>
        <v>-</v>
      </c>
    </row>
    <row r="203" spans="1:51" x14ac:dyDescent="0.25">
      <c r="A203">
        <v>184</v>
      </c>
      <c r="F203" t="s">
        <v>382</v>
      </c>
      <c r="AY203" t="str">
        <f>IFERROR(_xlfn.MAXIFS(#REF!,#REF!, CRUD_FirmID,#REF!, "&lt;"&amp;AY202), "-")</f>
        <v>-</v>
      </c>
    </row>
    <row r="204" spans="1:51" x14ac:dyDescent="0.25">
      <c r="A204">
        <v>185</v>
      </c>
      <c r="F204" t="s">
        <v>383</v>
      </c>
      <c r="AY204" t="str">
        <f>IFERROR(_xlfn.MAXIFS(#REF!,#REF!, CRUD_FirmID,#REF!, "&lt;"&amp;AY203), "-")</f>
        <v>-</v>
      </c>
    </row>
    <row r="205" spans="1:51" x14ac:dyDescent="0.25">
      <c r="A205">
        <v>186</v>
      </c>
      <c r="F205" t="s">
        <v>384</v>
      </c>
      <c r="AY205" t="str">
        <f>IFERROR(_xlfn.MAXIFS(#REF!,#REF!, CRUD_FirmID,#REF!, "&lt;"&amp;AY204), "-")</f>
        <v>-</v>
      </c>
    </row>
    <row r="206" spans="1:51" x14ac:dyDescent="0.25">
      <c r="A206">
        <v>187</v>
      </c>
      <c r="F206" t="s">
        <v>385</v>
      </c>
      <c r="AY206" t="str">
        <f>IFERROR(_xlfn.MAXIFS(#REF!,#REF!, CRUD_FirmID,#REF!, "&lt;"&amp;AY205), "-")</f>
        <v>-</v>
      </c>
    </row>
    <row r="207" spans="1:51" x14ac:dyDescent="0.25">
      <c r="A207">
        <v>188</v>
      </c>
      <c r="F207" t="s">
        <v>386</v>
      </c>
      <c r="AY207" t="str">
        <f>IFERROR(_xlfn.MAXIFS(#REF!,#REF!, CRUD_FirmID,#REF!, "&lt;"&amp;AY206), "-")</f>
        <v>-</v>
      </c>
    </row>
    <row r="208" spans="1:51" x14ac:dyDescent="0.25">
      <c r="A208">
        <v>189</v>
      </c>
      <c r="F208" t="s">
        <v>387</v>
      </c>
      <c r="AY208" t="str">
        <f>IFERROR(_xlfn.MAXIFS(#REF!,#REF!, CRUD_FirmID,#REF!, "&lt;"&amp;AY207), "-")</f>
        <v>-</v>
      </c>
    </row>
    <row r="209" spans="1:51" x14ac:dyDescent="0.25">
      <c r="A209">
        <v>190</v>
      </c>
      <c r="F209" t="s">
        <v>388</v>
      </c>
      <c r="AY209" t="str">
        <f>IFERROR(_xlfn.MAXIFS(#REF!,#REF!, CRUD_FirmID,#REF!, "&lt;"&amp;AY208), "-")</f>
        <v>-</v>
      </c>
    </row>
    <row r="210" spans="1:51" x14ac:dyDescent="0.25">
      <c r="A210">
        <v>191</v>
      </c>
      <c r="F210" t="s">
        <v>389</v>
      </c>
      <c r="AY210" t="str">
        <f>IFERROR(_xlfn.MAXIFS(#REF!,#REF!, CRUD_FirmID,#REF!, "&lt;"&amp;AY209), "-")</f>
        <v>-</v>
      </c>
    </row>
    <row r="211" spans="1:51" x14ac:dyDescent="0.25">
      <c r="A211">
        <v>192</v>
      </c>
      <c r="F211" t="s">
        <v>166</v>
      </c>
      <c r="AY211" t="str">
        <f>IFERROR(_xlfn.MAXIFS(#REF!,#REF!, CRUD_FirmID,#REF!, "&lt;"&amp;AY210), "-")</f>
        <v>-</v>
      </c>
    </row>
    <row r="212" spans="1:51" x14ac:dyDescent="0.25">
      <c r="A212">
        <v>193</v>
      </c>
      <c r="F212" t="s">
        <v>390</v>
      </c>
      <c r="AY212" t="str">
        <f>IFERROR(_xlfn.MAXIFS(#REF!,#REF!, CRUD_FirmID,#REF!, "&lt;"&amp;AY211), "-")</f>
        <v>-</v>
      </c>
    </row>
    <row r="213" spans="1:51" x14ac:dyDescent="0.25">
      <c r="A213">
        <v>194</v>
      </c>
      <c r="F213" t="s">
        <v>391</v>
      </c>
      <c r="AY213" t="str">
        <f>IFERROR(_xlfn.MAXIFS(#REF!,#REF!, CRUD_FirmID,#REF!, "&lt;"&amp;AY212), "-")</f>
        <v>-</v>
      </c>
    </row>
    <row r="214" spans="1:51" x14ac:dyDescent="0.25">
      <c r="A214">
        <v>195</v>
      </c>
      <c r="F214" t="s">
        <v>392</v>
      </c>
      <c r="AY214" t="str">
        <f>IFERROR(_xlfn.MAXIFS(#REF!,#REF!, CRUD_FirmID,#REF!, "&lt;"&amp;AY213), "-")</f>
        <v>-</v>
      </c>
    </row>
    <row r="215" spans="1:51" x14ac:dyDescent="0.25">
      <c r="A215">
        <v>196</v>
      </c>
      <c r="F215" t="s">
        <v>393</v>
      </c>
      <c r="AY215" t="str">
        <f>IFERROR(_xlfn.MAXIFS(#REF!,#REF!, CRUD_FirmID,#REF!, "&lt;"&amp;AY214), "-")</f>
        <v>-</v>
      </c>
    </row>
    <row r="216" spans="1:51" x14ac:dyDescent="0.25">
      <c r="A216">
        <v>197</v>
      </c>
      <c r="F216" t="s">
        <v>394</v>
      </c>
      <c r="AY216" t="str">
        <f>IFERROR(_xlfn.MAXIFS(#REF!,#REF!, CRUD_FirmID,#REF!, "&lt;"&amp;AY215), "-")</f>
        <v>-</v>
      </c>
    </row>
    <row r="217" spans="1:51" x14ac:dyDescent="0.25">
      <c r="A217">
        <v>198</v>
      </c>
      <c r="F217" t="s">
        <v>395</v>
      </c>
      <c r="AY217" t="str">
        <f>IFERROR(_xlfn.MAXIFS(#REF!,#REF!, CRUD_FirmID,#REF!, "&lt;"&amp;AY216), "-")</f>
        <v>-</v>
      </c>
    </row>
    <row r="218" spans="1:51" x14ac:dyDescent="0.25">
      <c r="A218">
        <v>199</v>
      </c>
      <c r="F218" t="s">
        <v>396</v>
      </c>
      <c r="AY218" t="str">
        <f>IFERROR(_xlfn.MAXIFS(#REF!,#REF!, CRUD_FirmID,#REF!, "&lt;"&amp;AY217), "-")</f>
        <v>-</v>
      </c>
    </row>
    <row r="219" spans="1:51" x14ac:dyDescent="0.25">
      <c r="A219">
        <v>200</v>
      </c>
      <c r="F219" t="s">
        <v>397</v>
      </c>
      <c r="AY219" t="str">
        <f>IFERROR(_xlfn.MAXIFS(#REF!,#REF!, CRUD_FirmID,#REF!, "&lt;"&amp;AY218), "-")</f>
        <v>-</v>
      </c>
    </row>
    <row r="220" spans="1:51" x14ac:dyDescent="0.25">
      <c r="A220">
        <v>201</v>
      </c>
      <c r="F220" t="s">
        <v>398</v>
      </c>
      <c r="AY220" t="str">
        <f>IFERROR(_xlfn.MAXIFS(#REF!,#REF!, CRUD_FirmID,#REF!, "&lt;"&amp;AY219), "-")</f>
        <v>-</v>
      </c>
    </row>
    <row r="221" spans="1:51" x14ac:dyDescent="0.25">
      <c r="A221">
        <v>202</v>
      </c>
      <c r="F221" t="s">
        <v>399</v>
      </c>
      <c r="AY221" t="str">
        <f>IFERROR(_xlfn.MAXIFS(#REF!,#REF!, CRUD_FirmID,#REF!, "&lt;"&amp;AY220), "-")</f>
        <v>-</v>
      </c>
    </row>
    <row r="222" spans="1:51" x14ac:dyDescent="0.25">
      <c r="A222">
        <v>203</v>
      </c>
      <c r="F222" t="s">
        <v>400</v>
      </c>
      <c r="AY222" t="str">
        <f>IFERROR(_xlfn.MAXIFS(#REF!,#REF!, CRUD_FirmID,#REF!, "&lt;"&amp;AY221), "-")</f>
        <v>-</v>
      </c>
    </row>
    <row r="223" spans="1:51" x14ac:dyDescent="0.25">
      <c r="A223">
        <v>204</v>
      </c>
      <c r="F223" t="s">
        <v>401</v>
      </c>
      <c r="AY223" t="str">
        <f>IFERROR(_xlfn.MAXIFS(#REF!,#REF!, CRUD_FirmID,#REF!, "&lt;"&amp;AY222), "-")</f>
        <v>-</v>
      </c>
    </row>
    <row r="224" spans="1:51" x14ac:dyDescent="0.25">
      <c r="A224">
        <v>205</v>
      </c>
      <c r="F224" t="s">
        <v>402</v>
      </c>
      <c r="AY224" t="str">
        <f>IFERROR(_xlfn.MAXIFS(#REF!,#REF!, CRUD_FirmID,#REF!, "&lt;"&amp;AY223), "-")</f>
        <v>-</v>
      </c>
    </row>
    <row r="225" spans="1:51" x14ac:dyDescent="0.25">
      <c r="A225">
        <v>206</v>
      </c>
      <c r="F225" t="s">
        <v>403</v>
      </c>
      <c r="AY225" t="str">
        <f>IFERROR(_xlfn.MAXIFS(#REF!,#REF!, CRUD_FirmID,#REF!, "&lt;"&amp;AY224), "-")</f>
        <v>-</v>
      </c>
    </row>
    <row r="226" spans="1:51" x14ac:dyDescent="0.25">
      <c r="A226">
        <v>207</v>
      </c>
      <c r="F226" t="s">
        <v>404</v>
      </c>
      <c r="AY226" t="str">
        <f>IFERROR(_xlfn.MAXIFS(#REF!,#REF!, CRUD_FirmID,#REF!, "&lt;"&amp;AY225), "-")</f>
        <v>-</v>
      </c>
    </row>
    <row r="227" spans="1:51" x14ac:dyDescent="0.25">
      <c r="A227">
        <v>208</v>
      </c>
      <c r="F227" t="s">
        <v>405</v>
      </c>
      <c r="AY227" t="str">
        <f>IFERROR(_xlfn.MAXIFS(#REF!,#REF!, CRUD_FirmID,#REF!, "&lt;"&amp;AY226), "-")</f>
        <v>-</v>
      </c>
    </row>
    <row r="228" spans="1:51" x14ac:dyDescent="0.25">
      <c r="A228">
        <v>209</v>
      </c>
      <c r="F228" t="s">
        <v>406</v>
      </c>
      <c r="AY228" t="str">
        <f>IFERROR(_xlfn.MAXIFS(#REF!,#REF!, CRUD_FirmID,#REF!, "&lt;"&amp;AY227), "-")</f>
        <v>-</v>
      </c>
    </row>
    <row r="229" spans="1:51" x14ac:dyDescent="0.25">
      <c r="A229">
        <v>210</v>
      </c>
      <c r="F229" t="s">
        <v>407</v>
      </c>
      <c r="AY229" t="str">
        <f>IFERROR(_xlfn.MAXIFS(#REF!,#REF!, CRUD_FirmID,#REF!, "&lt;"&amp;AY228), "-")</f>
        <v>-</v>
      </c>
    </row>
    <row r="230" spans="1:51" x14ac:dyDescent="0.25">
      <c r="A230">
        <v>211</v>
      </c>
      <c r="F230" t="s">
        <v>408</v>
      </c>
      <c r="AY230" t="str">
        <f>IFERROR(_xlfn.MAXIFS(#REF!,#REF!, CRUD_FirmID,#REF!, "&lt;"&amp;AY229), "-")</f>
        <v>-</v>
      </c>
    </row>
    <row r="231" spans="1:51" x14ac:dyDescent="0.25">
      <c r="A231">
        <v>212</v>
      </c>
      <c r="F231" t="s">
        <v>409</v>
      </c>
      <c r="AY231" t="str">
        <f>IFERROR(_xlfn.MAXIFS(#REF!,#REF!, CRUD_FirmID,#REF!, "&lt;"&amp;AY230), "-")</f>
        <v>-</v>
      </c>
    </row>
    <row r="232" spans="1:51" x14ac:dyDescent="0.25">
      <c r="A232">
        <v>213</v>
      </c>
      <c r="F232" t="s">
        <v>410</v>
      </c>
      <c r="AY232" t="str">
        <f>IFERROR(_xlfn.MAXIFS(#REF!,#REF!, CRUD_FirmID,#REF!, "&lt;"&amp;AY231), "-")</f>
        <v>-</v>
      </c>
    </row>
    <row r="233" spans="1:51" x14ac:dyDescent="0.25">
      <c r="A233">
        <v>214</v>
      </c>
      <c r="F233" t="s">
        <v>411</v>
      </c>
      <c r="AY233" t="str">
        <f>IFERROR(_xlfn.MAXIFS(#REF!,#REF!, CRUD_FirmID,#REF!, "&lt;"&amp;AY232), "-")</f>
        <v>-</v>
      </c>
    </row>
    <row r="234" spans="1:51" x14ac:dyDescent="0.25">
      <c r="A234">
        <v>215</v>
      </c>
      <c r="F234" t="s">
        <v>412</v>
      </c>
      <c r="AY234" t="str">
        <f>IFERROR(_xlfn.MAXIFS(#REF!,#REF!, CRUD_FirmID,#REF!, "&lt;"&amp;AY233), "-")</f>
        <v>-</v>
      </c>
    </row>
    <row r="235" spans="1:51" x14ac:dyDescent="0.25">
      <c r="A235">
        <v>216</v>
      </c>
      <c r="F235" t="s">
        <v>413</v>
      </c>
      <c r="AY235" t="str">
        <f>IFERROR(_xlfn.MAXIFS(#REF!,#REF!, CRUD_FirmID,#REF!, "&lt;"&amp;AY234), "-")</f>
        <v>-</v>
      </c>
    </row>
    <row r="236" spans="1:51" x14ac:dyDescent="0.25">
      <c r="A236">
        <v>217</v>
      </c>
      <c r="F236" t="s">
        <v>414</v>
      </c>
      <c r="AY236" t="str">
        <f>IFERROR(_xlfn.MAXIFS(#REF!,#REF!, CRUD_FirmID,#REF!, "&lt;"&amp;AY235), "-")</f>
        <v>-</v>
      </c>
    </row>
    <row r="237" spans="1:51" x14ac:dyDescent="0.25">
      <c r="A237">
        <v>218</v>
      </c>
      <c r="F237" t="s">
        <v>415</v>
      </c>
      <c r="AY237" t="str">
        <f>IFERROR(_xlfn.MAXIFS(#REF!,#REF!, CRUD_FirmID,#REF!, "&lt;"&amp;AY236), "-")</f>
        <v>-</v>
      </c>
    </row>
    <row r="238" spans="1:51" x14ac:dyDescent="0.25">
      <c r="A238">
        <v>219</v>
      </c>
      <c r="F238" t="s">
        <v>416</v>
      </c>
      <c r="AY238" t="str">
        <f>IFERROR(_xlfn.MAXIFS(#REF!,#REF!, CRUD_FirmID,#REF!, "&lt;"&amp;AY237), "-")</f>
        <v>-</v>
      </c>
    </row>
    <row r="239" spans="1:51" x14ac:dyDescent="0.25">
      <c r="A239">
        <v>220</v>
      </c>
      <c r="F239" t="s">
        <v>417</v>
      </c>
      <c r="AY239" t="str">
        <f>IFERROR(_xlfn.MAXIFS(#REF!,#REF!, CRUD_FirmID,#REF!, "&lt;"&amp;AY238), "-")</f>
        <v>-</v>
      </c>
    </row>
    <row r="240" spans="1:51" x14ac:dyDescent="0.25">
      <c r="A240">
        <v>221</v>
      </c>
      <c r="F240" t="s">
        <v>418</v>
      </c>
      <c r="AY240" t="str">
        <f>IFERROR(_xlfn.MAXIFS(#REF!,#REF!, CRUD_FirmID,#REF!, "&lt;"&amp;AY239), "-")</f>
        <v>-</v>
      </c>
    </row>
    <row r="241" spans="1:51" x14ac:dyDescent="0.25">
      <c r="A241">
        <v>222</v>
      </c>
      <c r="F241" t="s">
        <v>419</v>
      </c>
      <c r="AY241" t="str">
        <f>IFERROR(_xlfn.MAXIFS(#REF!,#REF!, CRUD_FirmID,#REF!, "&lt;"&amp;AY240), "-")</f>
        <v>-</v>
      </c>
    </row>
    <row r="242" spans="1:51" x14ac:dyDescent="0.25">
      <c r="A242">
        <v>223</v>
      </c>
      <c r="F242" t="s">
        <v>420</v>
      </c>
      <c r="AY242" t="str">
        <f>IFERROR(_xlfn.MAXIFS(#REF!,#REF!, CRUD_FirmID,#REF!, "&lt;"&amp;AY241), "-")</f>
        <v>-</v>
      </c>
    </row>
    <row r="243" spans="1:51" x14ac:dyDescent="0.25">
      <c r="A243">
        <v>224</v>
      </c>
      <c r="F243" t="s">
        <v>421</v>
      </c>
      <c r="AY243" t="str">
        <f>IFERROR(_xlfn.MAXIFS(#REF!,#REF!, CRUD_FirmID,#REF!, "&lt;"&amp;AY242), "-")</f>
        <v>-</v>
      </c>
    </row>
    <row r="244" spans="1:51" x14ac:dyDescent="0.25">
      <c r="A244">
        <v>225</v>
      </c>
      <c r="F244" t="s">
        <v>422</v>
      </c>
      <c r="AY244" t="str">
        <f>IFERROR(_xlfn.MAXIFS(#REF!,#REF!, CRUD_FirmID,#REF!, "&lt;"&amp;AY243), "-")</f>
        <v>-</v>
      </c>
    </row>
    <row r="245" spans="1:51" x14ac:dyDescent="0.25">
      <c r="A245">
        <v>226</v>
      </c>
      <c r="F245" t="s">
        <v>423</v>
      </c>
      <c r="AY245" t="str">
        <f>IFERROR(_xlfn.MAXIFS(#REF!,#REF!, CRUD_FirmID,#REF!, "&lt;"&amp;AY244), "-")</f>
        <v>-</v>
      </c>
    </row>
    <row r="246" spans="1:51" x14ac:dyDescent="0.25">
      <c r="A246">
        <v>227</v>
      </c>
      <c r="F246" t="s">
        <v>424</v>
      </c>
      <c r="AY246" t="str">
        <f>IFERROR(_xlfn.MAXIFS(#REF!,#REF!, CRUD_FirmID,#REF!, "&lt;"&amp;AY245), "-")</f>
        <v>-</v>
      </c>
    </row>
  </sheetData>
  <phoneticPr fontId="68"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16F0-66D1-411D-B961-62E5BB633DD1}">
  <sheetPr codeName="Sheet24">
    <tabColor theme="7" tint="0.79998168889431442"/>
  </sheetPr>
  <dimension ref="A1:L19"/>
  <sheetViews>
    <sheetView zoomScale="70" zoomScaleNormal="70" workbookViewId="0"/>
  </sheetViews>
  <sheetFormatPr defaultRowHeight="15" x14ac:dyDescent="0.25"/>
  <cols>
    <col min="1" max="1" width="11.140625" bestFit="1" customWidth="1"/>
    <col min="2" max="6" width="7.28515625" bestFit="1" customWidth="1"/>
    <col min="7" max="7" width="9" bestFit="1" customWidth="1"/>
    <col min="8" max="9" width="12" bestFit="1" customWidth="1"/>
    <col min="10" max="12" width="9" bestFit="1" customWidth="1"/>
    <col min="13" max="13" width="12.5703125" bestFit="1" customWidth="1"/>
    <col min="14" max="14" width="50.5703125" bestFit="1" customWidth="1"/>
    <col min="15" max="15" width="10.140625" bestFit="1" customWidth="1"/>
  </cols>
  <sheetData>
    <row r="1" spans="1:12" s="28" customFormat="1" x14ac:dyDescent="0.25">
      <c r="A1" s="25" t="str">
        <f ca="1">_xlfn.CONCAT(MID(CELL("filename"),SEARCH("[",CELL("filename"))+1, SEARCH("]",CELL("filename"))-SEARCH("[",CELL("filename"))-6), " - ", MID(CELL("filename",A1),FIND("]",CELL("filename",A1))+1,255))</f>
        <v>2025 ACEC-EFCG Key Financials Survey Form - BLANK (Unlocked) - Exchange_Rates_Import</v>
      </c>
    </row>
    <row r="3" spans="1:12" s="10" customFormat="1" x14ac:dyDescent="0.25">
      <c r="A3" s="15" t="s">
        <v>682</v>
      </c>
    </row>
    <row r="4" spans="1:12" x14ac:dyDescent="0.25">
      <c r="A4" t="s">
        <v>852</v>
      </c>
    </row>
    <row r="6" spans="1:12" s="30" customFormat="1" x14ac:dyDescent="0.25">
      <c r="A6" s="12" t="s">
        <v>695</v>
      </c>
    </row>
    <row r="8" spans="1:12" x14ac:dyDescent="0.25">
      <c r="A8" t="s">
        <v>61</v>
      </c>
      <c r="B8" t="s">
        <v>845</v>
      </c>
      <c r="C8" t="s">
        <v>846</v>
      </c>
      <c r="D8" t="s">
        <v>847</v>
      </c>
      <c r="E8" t="s">
        <v>848</v>
      </c>
      <c r="F8" t="s">
        <v>849</v>
      </c>
      <c r="G8" t="s">
        <v>973</v>
      </c>
      <c r="H8" t="s">
        <v>1035</v>
      </c>
      <c r="I8" t="s">
        <v>1102</v>
      </c>
      <c r="J8" t="s">
        <v>1296</v>
      </c>
      <c r="K8" t="s">
        <v>1321</v>
      </c>
      <c r="L8" t="s">
        <v>1593</v>
      </c>
    </row>
    <row r="9" spans="1:12" x14ac:dyDescent="0.25">
      <c r="A9" t="s">
        <v>436</v>
      </c>
      <c r="B9">
        <v>1</v>
      </c>
      <c r="C9">
        <v>1</v>
      </c>
      <c r="D9">
        <v>1</v>
      </c>
      <c r="E9">
        <v>1</v>
      </c>
      <c r="F9">
        <v>1</v>
      </c>
      <c r="G9">
        <v>1</v>
      </c>
      <c r="H9">
        <v>1</v>
      </c>
      <c r="I9">
        <v>1</v>
      </c>
      <c r="J9">
        <v>1</v>
      </c>
      <c r="K9">
        <v>1</v>
      </c>
      <c r="L9">
        <v>1</v>
      </c>
    </row>
    <row r="10" spans="1:12" x14ac:dyDescent="0.25">
      <c r="A10" t="s">
        <v>837</v>
      </c>
      <c r="B10">
        <v>0.7</v>
      </c>
      <c r="C10">
        <v>0.75</v>
      </c>
      <c r="D10">
        <v>0.78500000000000003</v>
      </c>
      <c r="E10">
        <v>0.77</v>
      </c>
      <c r="F10">
        <v>0.76</v>
      </c>
      <c r="G10">
        <v>0.74439</v>
      </c>
      <c r="H10">
        <v>0.80182816822354996</v>
      </c>
      <c r="I10">
        <v>0.78653452886581732</v>
      </c>
      <c r="J10">
        <v>0.74904400000000004</v>
      </c>
      <c r="K10">
        <v>0.72780599999999995</v>
      </c>
      <c r="L10">
        <v>0.72844200000000003</v>
      </c>
    </row>
    <row r="11" spans="1:12" x14ac:dyDescent="0.25">
      <c r="A11" t="s">
        <v>437</v>
      </c>
      <c r="B11">
        <v>1.1000000000000001</v>
      </c>
      <c r="C11">
        <v>1.1499999999999999</v>
      </c>
      <c r="D11">
        <v>1.175</v>
      </c>
      <c r="E11">
        <v>1.1599999999999999</v>
      </c>
      <c r="F11">
        <v>1.1200000000000001</v>
      </c>
      <c r="G11">
        <v>1.1581399999999999</v>
      </c>
      <c r="H11">
        <v>1.2055499999999999</v>
      </c>
      <c r="I11">
        <v>1.0936999999999999</v>
      </c>
      <c r="J11">
        <v>1.08683</v>
      </c>
      <c r="K11">
        <v>1.0735049999999999</v>
      </c>
      <c r="L11">
        <v>1.1614450000000001</v>
      </c>
    </row>
    <row r="12" spans="1:12" x14ac:dyDescent="0.25">
      <c r="A12" t="s">
        <v>438</v>
      </c>
      <c r="B12">
        <v>1.534</v>
      </c>
      <c r="C12">
        <v>1.25</v>
      </c>
      <c r="D12">
        <v>1.3</v>
      </c>
      <c r="E12">
        <v>1.3</v>
      </c>
      <c r="F12">
        <v>1.24</v>
      </c>
      <c r="G12">
        <v>1.272756</v>
      </c>
      <c r="H12">
        <v>1.3887500000000002</v>
      </c>
      <c r="I12">
        <v>1.2992333333333332</v>
      </c>
      <c r="J12">
        <v>1.2693890000000001</v>
      </c>
      <c r="K12">
        <v>1.264148</v>
      </c>
      <c r="L12">
        <v>1.3623959999999999</v>
      </c>
    </row>
    <row r="13" spans="1:12" x14ac:dyDescent="0.25">
      <c r="A13" t="s">
        <v>439</v>
      </c>
      <c r="B13">
        <v>0.7</v>
      </c>
      <c r="C13">
        <v>0.75</v>
      </c>
      <c r="D13">
        <v>0.79</v>
      </c>
      <c r="E13">
        <v>0.71</v>
      </c>
      <c r="F13">
        <v>0.7</v>
      </c>
      <c r="G13">
        <v>0.71456500000000001</v>
      </c>
      <c r="H13">
        <v>0.77159999999999995</v>
      </c>
      <c r="I13">
        <v>0.71921666666666662</v>
      </c>
      <c r="J13">
        <v>0.66122700000000001</v>
      </c>
      <c r="K13">
        <v>0.66496299999999997</v>
      </c>
      <c r="L13">
        <v>0.64997700000000003</v>
      </c>
    </row>
    <row r="14" spans="1:12" x14ac:dyDescent="0.25">
      <c r="A14" t="s">
        <v>440</v>
      </c>
      <c r="B14">
        <v>8.0000000000000002E-3</v>
      </c>
      <c r="C14">
        <v>0.01</v>
      </c>
      <c r="D14">
        <v>8.9999999999999993E-3</v>
      </c>
      <c r="E14">
        <v>8.9999999999999993E-3</v>
      </c>
      <c r="F14">
        <v>9.1999999999999998E-3</v>
      </c>
      <c r="G14">
        <v>9.3360000000000005E-3</v>
      </c>
      <c r="H14">
        <v>9.2860771060126416E-3</v>
      </c>
      <c r="I14">
        <v>8.13157980332419E-3</v>
      </c>
      <c r="J14">
        <v>6.9300000000000004E-3</v>
      </c>
      <c r="K14">
        <v>6.1879999999999999E-3</v>
      </c>
      <c r="L14">
        <v>6.9080000000000001E-3</v>
      </c>
    </row>
    <row r="15" spans="1:12" x14ac:dyDescent="0.25">
      <c r="A15" t="s">
        <v>441</v>
      </c>
      <c r="B15">
        <v>0.157</v>
      </c>
      <c r="C15">
        <v>0.15</v>
      </c>
      <c r="D15">
        <v>0.152</v>
      </c>
      <c r="E15">
        <v>0.14599999999999999</v>
      </c>
      <c r="F15">
        <v>0.15</v>
      </c>
      <c r="G15">
        <v>0.14292299999999999</v>
      </c>
      <c r="H15">
        <v>0.1545837960112228</v>
      </c>
      <c r="I15">
        <v>0.15436466078365793</v>
      </c>
      <c r="J15">
        <v>0.13788</v>
      </c>
      <c r="K15">
        <v>0.13758200000000001</v>
      </c>
      <c r="L15">
        <v>0.13944100000000001</v>
      </c>
    </row>
    <row r="16" spans="1:12" x14ac:dyDescent="0.25">
      <c r="A16" t="s">
        <v>442</v>
      </c>
      <c r="B16">
        <v>1.0389999999999999</v>
      </c>
      <c r="C16">
        <v>1.0209999999999999</v>
      </c>
      <c r="D16">
        <v>1.0389999999999999</v>
      </c>
      <c r="E16">
        <v>1.032</v>
      </c>
      <c r="F16">
        <v>1.01</v>
      </c>
      <c r="G16">
        <v>1.074654</v>
      </c>
      <c r="H16">
        <v>1.1016248967226658</v>
      </c>
      <c r="I16">
        <v>1.058779932591011</v>
      </c>
      <c r="J16">
        <v>1.115229</v>
      </c>
      <c r="K16">
        <v>1.106851</v>
      </c>
      <c r="L16">
        <v>1.241951</v>
      </c>
    </row>
    <row r="17" spans="1:12" x14ac:dyDescent="0.25">
      <c r="A17" t="s">
        <v>843</v>
      </c>
      <c r="B17">
        <v>7.0000000000000007E-2</v>
      </c>
      <c r="C17">
        <v>7.0000000000000007E-2</v>
      </c>
      <c r="D17">
        <v>7.8E-2</v>
      </c>
      <c r="E17">
        <v>6.8000000000000005E-2</v>
      </c>
      <c r="F17">
        <v>6.7000000000000004E-2</v>
      </c>
      <c r="G17">
        <v>6.0942999999999997E-2</v>
      </c>
      <c r="H17">
        <v>6.8772007042253502E-2</v>
      </c>
      <c r="I17">
        <v>6.492340120714242E-2</v>
      </c>
      <c r="J17">
        <v>5.2442000000000003E-2</v>
      </c>
      <c r="K17">
        <v>5.4391000000000002E-2</v>
      </c>
      <c r="L17">
        <v>5.6376999999999997E-2</v>
      </c>
    </row>
    <row r="18" spans="1:12" x14ac:dyDescent="0.25">
      <c r="A18" t="s">
        <v>850</v>
      </c>
      <c r="B18">
        <v>0.121</v>
      </c>
      <c r="C18">
        <v>0.122</v>
      </c>
      <c r="D18">
        <v>0.128</v>
      </c>
      <c r="E18">
        <v>0.12</v>
      </c>
      <c r="F18">
        <v>0.11</v>
      </c>
      <c r="G18">
        <v>0.10965999999999999</v>
      </c>
      <c r="H18">
        <v>0.11845627778786852</v>
      </c>
      <c r="I18">
        <v>0.1094692747113204</v>
      </c>
      <c r="J18">
        <v>9.2721999999999999E-2</v>
      </c>
      <c r="K18">
        <v>9.3766000000000002E-2</v>
      </c>
      <c r="L18">
        <v>9.8784999999999998E-2</v>
      </c>
    </row>
    <row r="19" spans="1:12" x14ac:dyDescent="0.25">
      <c r="A19" t="s">
        <v>851</v>
      </c>
      <c r="B19">
        <v>0.151</v>
      </c>
      <c r="C19">
        <v>0.15</v>
      </c>
      <c r="D19">
        <v>0.16</v>
      </c>
      <c r="E19">
        <v>0.16</v>
      </c>
      <c r="F19">
        <v>0.14699999999999999</v>
      </c>
      <c r="G19">
        <v>0.155583</v>
      </c>
      <c r="H19">
        <v>0.16209425781091702</v>
      </c>
      <c r="I19">
        <v>0.14685833310896643</v>
      </c>
      <c r="J19">
        <v>0.14593200000000001</v>
      </c>
      <c r="K19">
        <v>0.143926</v>
      </c>
      <c r="L19">
        <v>0.15568000000000001</v>
      </c>
    </row>
  </sheetData>
  <phoneticPr fontId="68"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EA6-F2C4-4F41-B06B-55A6B87281D6}">
  <sheetPr codeName="Sheet2">
    <pageSetUpPr fitToPage="1"/>
  </sheetPr>
  <dimension ref="A1:R122"/>
  <sheetViews>
    <sheetView showGridLines="0" zoomScale="70" zoomScaleNormal="70" zoomScaleSheetLayoutView="70" workbookViewId="0"/>
  </sheetViews>
  <sheetFormatPr defaultColWidth="0" defaultRowHeight="0" customHeight="1" zeroHeight="1" x14ac:dyDescent="0.25"/>
  <cols>
    <col min="1" max="3" width="2.5703125" style="36" customWidth="1"/>
    <col min="4" max="13" width="18.140625" style="36" customWidth="1"/>
    <col min="14" max="15" width="3" style="36" customWidth="1"/>
    <col min="16" max="16" width="44.140625" style="282" bestFit="1" customWidth="1"/>
    <col min="17" max="17" width="2.5703125" style="36" customWidth="1"/>
    <col min="18" max="18" width="0" style="36" hidden="1" customWidth="1"/>
    <col min="19" max="16384" width="8.85546875" style="36" hidden="1"/>
  </cols>
  <sheetData>
    <row r="1" spans="2:17" ht="15.75" x14ac:dyDescent="0.25"/>
    <row r="2" spans="2:17" ht="7.5" customHeight="1" x14ac:dyDescent="0.35">
      <c r="B2"/>
      <c r="C2" s="379"/>
      <c r="D2" s="380"/>
      <c r="E2" s="381"/>
      <c r="F2" s="382"/>
      <c r="G2" s="383"/>
      <c r="H2" s="383"/>
      <c r="I2" s="384"/>
      <c r="J2" s="384"/>
      <c r="K2" s="383"/>
      <c r="L2" s="385"/>
      <c r="M2" s="386"/>
      <c r="N2" s="386"/>
      <c r="O2" s="386"/>
      <c r="P2" s="283"/>
      <c r="Q2" s="58"/>
    </row>
    <row r="3" spans="2:17" ht="7.5" customHeight="1" x14ac:dyDescent="0.35">
      <c r="B3"/>
      <c r="C3" s="387"/>
      <c r="D3" s="388"/>
      <c r="E3" s="389"/>
      <c r="F3" s="390"/>
      <c r="G3" s="391"/>
      <c r="H3" s="391"/>
      <c r="I3" s="392"/>
      <c r="J3" s="392"/>
      <c r="K3" s="391"/>
      <c r="L3" s="393"/>
      <c r="M3" s="394"/>
      <c r="N3" s="395"/>
      <c r="O3" s="386"/>
      <c r="P3" s="284"/>
      <c r="Q3" s="58"/>
    </row>
    <row r="4" spans="2:17" s="71" customFormat="1" ht="18.75" customHeight="1" x14ac:dyDescent="0.35">
      <c r="B4" s="396"/>
      <c r="C4" s="397"/>
      <c r="D4" s="398" t="s">
        <v>1</v>
      </c>
      <c r="E4" s="399"/>
      <c r="F4" s="399"/>
      <c r="G4" s="396"/>
      <c r="H4" s="400"/>
      <c r="I4" s="400"/>
      <c r="J4" s="400"/>
      <c r="K4" s="400"/>
      <c r="L4" s="399"/>
      <c r="M4" s="399"/>
      <c r="N4" s="401"/>
      <c r="O4" s="399"/>
      <c r="P4" s="285"/>
      <c r="Q4" s="70"/>
    </row>
    <row r="5" spans="2:17" ht="7.5" customHeight="1" x14ac:dyDescent="0.35">
      <c r="B5"/>
      <c r="C5" s="402"/>
      <c r="D5" s="403"/>
      <c r="E5" s="403"/>
      <c r="F5" s="403"/>
      <c r="G5" s="384"/>
      <c r="H5" s="404"/>
      <c r="I5" s="404"/>
      <c r="J5" s="404"/>
      <c r="K5" s="404"/>
      <c r="L5" s="403"/>
      <c r="M5" s="403"/>
      <c r="N5" s="405"/>
      <c r="O5" s="403"/>
      <c r="P5" s="286"/>
      <c r="Q5" s="58"/>
    </row>
    <row r="6" spans="2:17" ht="15" customHeight="1" x14ac:dyDescent="0.35">
      <c r="B6"/>
      <c r="C6" s="402"/>
      <c r="D6" s="406" t="s">
        <v>0</v>
      </c>
      <c r="E6"/>
      <c r="F6" s="31"/>
      <c r="G6"/>
      <c r="H6" s="407" t="s">
        <v>203</v>
      </c>
      <c r="I6" s="408" t="s">
        <v>589</v>
      </c>
      <c r="J6" s="241"/>
      <c r="K6"/>
      <c r="L6"/>
      <c r="M6"/>
      <c r="N6" s="405"/>
      <c r="O6" s="403"/>
      <c r="P6" s="287" t="str">
        <f>IF(ISBLANK(F6),"Please enter a firm name.","OK")</f>
        <v>Please enter a firm name.</v>
      </c>
      <c r="Q6" s="58"/>
    </row>
    <row r="7" spans="2:17" ht="7.5" customHeight="1" x14ac:dyDescent="0.25">
      <c r="B7"/>
      <c r="C7" s="29"/>
      <c r="D7"/>
      <c r="E7"/>
      <c r="F7"/>
      <c r="G7"/>
      <c r="H7"/>
      <c r="I7"/>
      <c r="J7"/>
      <c r="K7"/>
      <c r="L7"/>
      <c r="M7"/>
      <c r="N7" s="331"/>
      <c r="O7"/>
      <c r="P7" s="7"/>
    </row>
    <row r="8" spans="2:17" ht="15" customHeight="1" x14ac:dyDescent="0.3">
      <c r="B8"/>
      <c r="C8" s="29"/>
      <c r="D8" s="406" t="s">
        <v>435</v>
      </c>
      <c r="E8"/>
      <c r="F8" s="240"/>
      <c r="G8"/>
      <c r="H8"/>
      <c r="I8" s="408" t="s">
        <v>204</v>
      </c>
      <c r="J8" s="77"/>
      <c r="K8"/>
      <c r="L8"/>
      <c r="M8"/>
      <c r="N8" s="331"/>
      <c r="O8"/>
      <c r="P8" s="287" t="str">
        <f>IF(ISBLANK(F8),"Please select a currency.","OK")</f>
        <v>Please select a currency.</v>
      </c>
    </row>
    <row r="9" spans="2:17" ht="7.5" customHeight="1" x14ac:dyDescent="0.25">
      <c r="B9"/>
      <c r="C9" s="29"/>
      <c r="D9"/>
      <c r="E9"/>
      <c r="F9"/>
      <c r="G9"/>
      <c r="H9"/>
      <c r="I9"/>
      <c r="J9"/>
      <c r="K9"/>
      <c r="L9" s="7"/>
      <c r="M9"/>
      <c r="N9" s="331"/>
      <c r="O9"/>
      <c r="P9" s="7"/>
    </row>
    <row r="10" spans="2:17" ht="15" customHeight="1" x14ac:dyDescent="0.3">
      <c r="B10"/>
      <c r="C10" s="409"/>
      <c r="D10" s="406" t="s">
        <v>856</v>
      </c>
      <c r="E10"/>
      <c r="F10" s="241"/>
      <c r="G10"/>
      <c r="H10"/>
      <c r="I10"/>
      <c r="J10"/>
      <c r="K10"/>
      <c r="L10"/>
      <c r="M10"/>
      <c r="N10" s="405"/>
      <c r="O10" s="403"/>
      <c r="P10" s="287" t="str">
        <f xml:space="preserve"> IF(F12="Private", IF(ISBLANK(H12), "Please specify private ownership type.", "OK"), IF(ISBLANK(F12), "Please specify public / private ownership.", "OK"))</f>
        <v>Please specify public / private ownership.</v>
      </c>
      <c r="Q10" s="58"/>
    </row>
    <row r="11" spans="2:17" ht="7.5" customHeight="1" x14ac:dyDescent="0.3">
      <c r="B11"/>
      <c r="C11" s="409"/>
      <c r="D11"/>
      <c r="E11" s="410"/>
      <c r="F11" s="410"/>
      <c r="G11" s="411"/>
      <c r="H11"/>
      <c r="I11"/>
      <c r="J11"/>
      <c r="K11"/>
      <c r="L11"/>
      <c r="M11"/>
      <c r="N11" s="405"/>
      <c r="O11" s="403"/>
      <c r="P11" s="286"/>
      <c r="Q11" s="58"/>
    </row>
    <row r="12" spans="2:17" ht="15" customHeight="1" x14ac:dyDescent="0.3">
      <c r="B12"/>
      <c r="C12" s="409"/>
      <c r="D12" s="407" t="s">
        <v>205</v>
      </c>
      <c r="E12" s="408" t="s">
        <v>590</v>
      </c>
      <c r="F12" s="77"/>
      <c r="G12" s="408" t="s">
        <v>432</v>
      </c>
      <c r="H12" s="77"/>
      <c r="I12"/>
      <c r="J12"/>
      <c r="K12"/>
      <c r="L12" s="408" t="s">
        <v>882</v>
      </c>
      <c r="M12" s="77"/>
      <c r="N12" s="405"/>
      <c r="O12" s="403"/>
      <c r="P12" s="287" t="str">
        <f>IF(AND(ISBLANK(_ESOP?),NOT(F12="Public")),"Please indicate ESOP status.",
IF(AND(_ESOP?="No",OR(COUNT(K47:M47,K49:M51)&gt;0,Overhead!L79&gt;0,'Ownership, Governance, Talent'!M8&gt;0)),"ESOP status inconsistent with data entered later in survey - please review.","OK"))</f>
        <v>Please indicate ESOP status.</v>
      </c>
      <c r="Q12" s="58"/>
    </row>
    <row r="13" spans="2:17" ht="7.5" customHeight="1" x14ac:dyDescent="0.3">
      <c r="B13"/>
      <c r="C13" s="409"/>
      <c r="D13"/>
      <c r="E13" s="410"/>
      <c r="F13" s="410"/>
      <c r="G13" s="411"/>
      <c r="H13"/>
      <c r="I13"/>
      <c r="J13"/>
      <c r="K13"/>
      <c r="L13"/>
      <c r="M13"/>
      <c r="N13" s="405"/>
      <c r="O13" s="403"/>
      <c r="P13" s="286"/>
      <c r="Q13" s="58"/>
    </row>
    <row r="14" spans="2:17" ht="15" customHeight="1" x14ac:dyDescent="0.3">
      <c r="B14"/>
      <c r="C14" s="409"/>
      <c r="D14" s="407" t="s">
        <v>455</v>
      </c>
      <c r="E14" s="408" t="s">
        <v>456</v>
      </c>
      <c r="F14" s="365"/>
      <c r="G14" s="408" t="s">
        <v>457</v>
      </c>
      <c r="H14" s="83"/>
      <c r="I14"/>
      <c r="J14"/>
      <c r="K14"/>
      <c r="L14"/>
      <c r="M14"/>
      <c r="N14" s="405"/>
      <c r="O14" s="403"/>
      <c r="P14" s="287" t="str">
        <f>IF(OR(ISBLANK(F14), ISBLANK(H14)), "Please provide contact information.", "OK")</f>
        <v>Please provide contact information.</v>
      </c>
      <c r="Q14" s="58"/>
    </row>
    <row r="15" spans="2:17" ht="7.5" customHeight="1" x14ac:dyDescent="0.3">
      <c r="B15"/>
      <c r="C15" s="409"/>
      <c r="D15"/>
      <c r="E15"/>
      <c r="F15" s="403"/>
      <c r="G15" s="384"/>
      <c r="H15"/>
      <c r="I15"/>
      <c r="J15"/>
      <c r="K15" s="404"/>
      <c r="L15" s="404"/>
      <c r="M15"/>
      <c r="N15" s="405"/>
      <c r="O15" s="403"/>
      <c r="P15" s="287"/>
      <c r="Q15" s="58"/>
    </row>
    <row r="16" spans="2:17" ht="30" customHeight="1" x14ac:dyDescent="0.3">
      <c r="B16"/>
      <c r="C16" s="409"/>
      <c r="D16" s="22" t="s">
        <v>458</v>
      </c>
      <c r="E16"/>
      <c r="F16"/>
      <c r="G16"/>
      <c r="H16" s="458"/>
      <c r="I16" s="458"/>
      <c r="J16" s="458"/>
      <c r="K16" s="458"/>
      <c r="L16" s="458"/>
      <c r="M16" s="458"/>
      <c r="N16" s="405"/>
      <c r="O16" s="403"/>
      <c r="P16" s="287"/>
      <c r="Q16" s="58"/>
    </row>
    <row r="17" spans="1:17" ht="7.5" customHeight="1" x14ac:dyDescent="0.35">
      <c r="A17" s="36" t="s">
        <v>459</v>
      </c>
      <c r="B17"/>
      <c r="C17" s="412"/>
      <c r="D17" s="413"/>
      <c r="E17" s="414"/>
      <c r="F17" s="415"/>
      <c r="G17" s="416"/>
      <c r="H17" s="416"/>
      <c r="I17" s="417"/>
      <c r="J17" s="417"/>
      <c r="K17" s="416"/>
      <c r="L17" s="418"/>
      <c r="M17" s="419"/>
      <c r="N17" s="420"/>
      <c r="O17" s="386"/>
      <c r="P17" s="284"/>
      <c r="Q17" s="58"/>
    </row>
    <row r="18" spans="1:17" ht="7.5" customHeight="1" x14ac:dyDescent="0.25">
      <c r="B18"/>
      <c r="C18"/>
      <c r="D18"/>
      <c r="E18"/>
      <c r="F18"/>
      <c r="G18"/>
      <c r="H18"/>
      <c r="I18"/>
      <c r="J18"/>
      <c r="K18"/>
      <c r="L18"/>
      <c r="M18"/>
      <c r="N18"/>
      <c r="O18"/>
      <c r="P18" s="286"/>
      <c r="Q18" s="94"/>
    </row>
    <row r="19" spans="1:17" ht="7.5" customHeight="1" x14ac:dyDescent="0.35">
      <c r="C19" s="59"/>
      <c r="D19" s="60"/>
      <c r="E19" s="61"/>
      <c r="F19" s="62"/>
      <c r="G19" s="63"/>
      <c r="H19" s="63"/>
      <c r="I19" s="64"/>
      <c r="J19" s="64"/>
      <c r="K19" s="63"/>
      <c r="L19" s="65"/>
      <c r="M19" s="66"/>
      <c r="N19" s="95"/>
      <c r="O19" s="57"/>
      <c r="P19" s="284"/>
      <c r="Q19" s="58"/>
    </row>
    <row r="20" spans="1:17" s="98" customFormat="1" ht="18.75" customHeight="1" x14ac:dyDescent="0.35">
      <c r="A20" s="36"/>
      <c r="B20" s="36"/>
      <c r="C20" s="96"/>
      <c r="D20" s="50" t="s">
        <v>915</v>
      </c>
      <c r="E20" s="36"/>
      <c r="F20" s="36"/>
      <c r="G20" s="36"/>
      <c r="H20" s="36"/>
      <c r="I20" s="36"/>
      <c r="J20" s="36"/>
      <c r="K20" s="36"/>
      <c r="L20" s="36"/>
      <c r="M20" s="36"/>
      <c r="N20" s="80"/>
      <c r="O20" s="36"/>
      <c r="P20" s="286"/>
      <c r="Q20" s="94"/>
    </row>
    <row r="21" spans="1:17" s="98" customFormat="1" ht="7.5" customHeight="1" x14ac:dyDescent="0.25">
      <c r="A21" s="36"/>
      <c r="B21" s="36"/>
      <c r="C21" s="99"/>
      <c r="D21" s="36"/>
      <c r="E21" s="36"/>
      <c r="F21" s="36"/>
      <c r="G21" s="36"/>
      <c r="H21" s="36"/>
      <c r="I21" s="36"/>
      <c r="J21" s="36"/>
      <c r="K21" s="36"/>
      <c r="L21" s="36"/>
      <c r="M21" s="36"/>
      <c r="N21" s="80"/>
      <c r="O21" s="36"/>
      <c r="P21" s="286"/>
    </row>
    <row r="22" spans="1:17" s="98" customFormat="1" ht="15" customHeight="1" x14ac:dyDescent="0.35">
      <c r="A22" s="36"/>
      <c r="B22" s="36"/>
      <c r="C22" s="99"/>
      <c r="E22" s="36"/>
      <c r="F22" s="36"/>
      <c r="G22" s="36"/>
      <c r="H22" s="36"/>
      <c r="J22" s="100" t="str">
        <f>CONCATENATE("(Millions",
                               IF(NOT(ISBLANK(_Currency)), CONCATENATE(" of ", _Currency, ")"), ")"))</f>
        <v>(Millions)</v>
      </c>
      <c r="K22" s="101" t="str">
        <f>IF(TRUE,TEXT(2025-1,"0000"),TEXT(2025-1,"0000"))&amp;" (Act.)"</f>
        <v>2024 (Act.)</v>
      </c>
      <c r="L22" s="101" t="str">
        <f>IF(TRUE,TEXT(2025,"0000"),TEXT(2025,"0000"))&amp;" (Est.)"</f>
        <v>2025 (Est.)</v>
      </c>
      <c r="M22" s="101" t="str">
        <f>IF(TRUE,TEXT(2025+1,"0000"),TEXT(2025+1,"0000"))&amp;" (Proj.)"</f>
        <v>2026 (Proj.)</v>
      </c>
      <c r="N22" s="80"/>
      <c r="O22" s="36"/>
      <c r="P22" s="286"/>
    </row>
    <row r="23" spans="1:17" s="98" customFormat="1" ht="7.5" customHeight="1" x14ac:dyDescent="0.3">
      <c r="A23" s="36"/>
      <c r="B23" s="36"/>
      <c r="C23" s="99"/>
      <c r="D23" s="36"/>
      <c r="E23" s="36"/>
      <c r="F23" s="36"/>
      <c r="G23" s="36"/>
      <c r="J23" s="102"/>
      <c r="K23" s="36"/>
      <c r="L23" s="36"/>
      <c r="M23" s="36"/>
      <c r="N23" s="103"/>
      <c r="P23" s="286"/>
    </row>
    <row r="24" spans="1:17" s="98" customFormat="1" ht="15" customHeight="1" x14ac:dyDescent="0.3">
      <c r="A24" s="36"/>
      <c r="B24" s="36"/>
      <c r="C24" s="99"/>
      <c r="D24" s="84" t="s">
        <v>62</v>
      </c>
      <c r="F24" s="36"/>
      <c r="G24" s="36"/>
      <c r="H24" s="36"/>
      <c r="J24" s="100"/>
      <c r="K24" s="104"/>
      <c r="L24" s="105"/>
      <c r="M24" s="104"/>
      <c r="N24" s="103"/>
      <c r="P24" s="288"/>
    </row>
    <row r="25" spans="1:17" s="98" customFormat="1" ht="7.5" customHeight="1" x14ac:dyDescent="0.3">
      <c r="A25" s="36"/>
      <c r="B25" s="36"/>
      <c r="C25" s="99"/>
      <c r="D25" s="84"/>
      <c r="E25" s="36"/>
      <c r="F25" s="36"/>
      <c r="G25" s="36"/>
      <c r="H25" s="36"/>
      <c r="J25" s="81"/>
      <c r="K25" s="36"/>
      <c r="L25" s="36"/>
      <c r="M25" s="36"/>
      <c r="N25" s="103"/>
      <c r="P25" s="288"/>
    </row>
    <row r="26" spans="1:17" s="98" customFormat="1" ht="15" customHeight="1" x14ac:dyDescent="0.3">
      <c r="A26" s="36"/>
      <c r="B26" s="36"/>
      <c r="C26" s="99"/>
      <c r="D26" s="84" t="s">
        <v>66</v>
      </c>
      <c r="E26" s="36"/>
      <c r="F26" s="36"/>
      <c r="G26" s="36"/>
      <c r="H26" s="36"/>
      <c r="J26" s="100"/>
      <c r="K26" s="104"/>
      <c r="L26" s="105"/>
      <c r="M26" s="104"/>
      <c r="N26" s="103"/>
      <c r="P26" s="288"/>
    </row>
    <row r="27" spans="1:17" s="98" customFormat="1" ht="7.5" customHeight="1" x14ac:dyDescent="0.25">
      <c r="A27" s="36"/>
      <c r="B27" s="36"/>
      <c r="C27" s="99"/>
      <c r="D27" s="36"/>
      <c r="E27" s="36"/>
      <c r="F27" s="36"/>
      <c r="G27" s="36"/>
      <c r="H27" s="36"/>
      <c r="J27" s="81"/>
      <c r="K27" s="36"/>
      <c r="L27" s="36"/>
      <c r="M27" s="36"/>
      <c r="N27" s="103"/>
      <c r="P27" s="286"/>
    </row>
    <row r="28" spans="1:17" ht="15" customHeight="1" x14ac:dyDescent="0.3">
      <c r="C28" s="79"/>
      <c r="D28" s="84" t="s">
        <v>857</v>
      </c>
      <c r="F28" s="160" t="s">
        <v>919</v>
      </c>
      <c r="J28" s="100"/>
      <c r="L28" s="421" t="str">
        <f>IF(COUNT(K26:L26) = 2, (L26-K26) / K26, "")</f>
        <v/>
      </c>
      <c r="M28" s="422" t="str">
        <f>IF(COUNT(L26:M26) = 2, (M26-L26) / L26, "")</f>
        <v/>
      </c>
      <c r="N28" s="80"/>
      <c r="P28" s="286"/>
    </row>
    <row r="29" spans="1:17" ht="7.5" customHeight="1" x14ac:dyDescent="0.25">
      <c r="C29" s="79"/>
      <c r="J29" s="81"/>
      <c r="N29" s="80"/>
      <c r="P29" s="286"/>
    </row>
    <row r="30" spans="1:17" s="98" customFormat="1" ht="15" customHeight="1" x14ac:dyDescent="0.3">
      <c r="A30" s="36"/>
      <c r="B30" s="36"/>
      <c r="C30" s="99"/>
      <c r="D30" s="106" t="s">
        <v>824</v>
      </c>
      <c r="E30" s="36"/>
      <c r="F30" s="36"/>
      <c r="G30" s="36"/>
      <c r="H30" s="36"/>
      <c r="J30" s="100"/>
      <c r="K30" s="107"/>
      <c r="L30" s="107"/>
      <c r="M30" s="108"/>
      <c r="N30" s="80"/>
      <c r="O30" s="36"/>
      <c r="P30" s="286"/>
      <c r="Q30" s="36"/>
    </row>
    <row r="31" spans="1:17" s="98" customFormat="1" ht="7.5" customHeight="1" x14ac:dyDescent="0.25">
      <c r="A31" s="36"/>
      <c r="B31" s="36"/>
      <c r="C31" s="99"/>
      <c r="D31" s="36"/>
      <c r="E31" s="36"/>
      <c r="F31" s="36"/>
      <c r="G31" s="36"/>
      <c r="H31" s="36"/>
      <c r="I31" s="36"/>
      <c r="J31" s="36"/>
      <c r="K31" s="36"/>
      <c r="L31" s="36"/>
      <c r="M31" s="36"/>
      <c r="N31" s="80"/>
      <c r="O31" s="36"/>
      <c r="P31" s="286"/>
      <c r="Q31" s="36"/>
    </row>
    <row r="32" spans="1:17" s="98" customFormat="1" ht="15" customHeight="1" x14ac:dyDescent="0.3">
      <c r="A32" s="36"/>
      <c r="B32" s="36"/>
      <c r="C32" s="99"/>
      <c r="E32" s="36"/>
      <c r="F32" s="36"/>
      <c r="J32" s="36"/>
      <c r="K32" s="82" t="s">
        <v>471</v>
      </c>
      <c r="L32" s="109" t="s">
        <v>858</v>
      </c>
      <c r="M32" s="109" t="s">
        <v>859</v>
      </c>
      <c r="N32" s="80"/>
      <c r="O32" s="36"/>
      <c r="P32" s="287"/>
      <c r="Q32" s="36"/>
    </row>
    <row r="33" spans="1:17" s="98" customFormat="1" ht="15" customHeight="1" x14ac:dyDescent="0.3">
      <c r="A33" s="36"/>
      <c r="B33" s="36"/>
      <c r="C33" s="99"/>
      <c r="D33" s="84" t="s">
        <v>972</v>
      </c>
      <c r="H33" s="82"/>
      <c r="J33" s="109"/>
      <c r="K33" s="107"/>
      <c r="L33" s="107"/>
      <c r="M33" s="110" t="str">
        <f>IF(COUNT(K33:L33)&gt;0, SUM(K33:L33), "")</f>
        <v/>
      </c>
      <c r="N33" s="80"/>
      <c r="O33" s="36"/>
      <c r="P33" s="287" t="str">
        <f>IF(OR(ISNUMBER(K33), ISNUMBER(L33)),
       IF(M33=SUM(K33, L33), "OK", "Total growth rate should equal internal + acquisitive."), "OK")</f>
        <v>OK</v>
      </c>
      <c r="Q33" s="36"/>
    </row>
    <row r="34" spans="1:17" ht="7.5" customHeight="1" x14ac:dyDescent="0.25">
      <c r="C34" s="79"/>
      <c r="N34" s="80"/>
      <c r="P34" s="286"/>
    </row>
    <row r="35" spans="1:17" ht="15" customHeight="1" x14ac:dyDescent="0.3">
      <c r="C35" s="79"/>
      <c r="D35" s="84" t="s">
        <v>860</v>
      </c>
      <c r="G35" s="82" t="s">
        <v>464</v>
      </c>
      <c r="H35" s="82" t="s">
        <v>465</v>
      </c>
      <c r="I35" s="84" t="s">
        <v>1097</v>
      </c>
      <c r="L35" s="82" t="s">
        <v>467</v>
      </c>
      <c r="M35" s="82" t="s">
        <v>466</v>
      </c>
      <c r="N35" s="80"/>
      <c r="P35" s="286"/>
    </row>
    <row r="36" spans="1:17" ht="15" customHeight="1" x14ac:dyDescent="0.3">
      <c r="C36" s="79"/>
      <c r="D36" s="84" t="str">
        <f>"1H " &amp; IF(TRUE,TEXT(2025,"0000"),TEXT(2025,"0000")) &amp; " actuals vs. projections for:"</f>
        <v>1H 2025 actuals vs. projections for:</v>
      </c>
      <c r="G36" s="107"/>
      <c r="H36" s="108"/>
      <c r="I36" s="84" t="s">
        <v>1098</v>
      </c>
      <c r="L36" s="107"/>
      <c r="M36" s="108"/>
      <c r="N36" s="80"/>
      <c r="P36" s="286"/>
    </row>
    <row r="37" spans="1:17" ht="7.5" customHeight="1" x14ac:dyDescent="0.25">
      <c r="C37" s="79"/>
      <c r="H37" s="98"/>
      <c r="N37" s="80"/>
      <c r="P37" s="286"/>
    </row>
    <row r="38" spans="1:17" ht="15" customHeight="1" x14ac:dyDescent="0.3">
      <c r="C38" s="79"/>
      <c r="D38" s="84" t="s">
        <v>861</v>
      </c>
      <c r="H38" s="98"/>
      <c r="I38" s="84" t="s">
        <v>1095</v>
      </c>
      <c r="N38" s="80"/>
      <c r="P38" s="286"/>
    </row>
    <row r="39" spans="1:17" ht="15" customHeight="1" x14ac:dyDescent="0.3">
      <c r="C39" s="79"/>
      <c r="D39" s="84" t="s">
        <v>862</v>
      </c>
      <c r="G39" s="108"/>
      <c r="H39" s="98"/>
      <c r="I39" s="84" t="s">
        <v>1096</v>
      </c>
      <c r="L39" s="270"/>
      <c r="N39" s="80"/>
      <c r="P39" s="286"/>
    </row>
    <row r="40" spans="1:17" ht="7.5" customHeight="1" x14ac:dyDescent="0.35">
      <c r="A40" s="36" t="s">
        <v>459</v>
      </c>
      <c r="C40" s="85"/>
      <c r="D40" s="86"/>
      <c r="E40" s="87"/>
      <c r="F40" s="88"/>
      <c r="G40" s="89"/>
      <c r="H40" s="89"/>
      <c r="I40" s="90"/>
      <c r="J40" s="90"/>
      <c r="K40" s="89"/>
      <c r="L40" s="91"/>
      <c r="M40" s="92"/>
      <c r="N40" s="93"/>
      <c r="O40" s="57"/>
      <c r="P40" s="284"/>
      <c r="Q40" s="58"/>
    </row>
    <row r="41" spans="1:17" ht="7.5" customHeight="1" x14ac:dyDescent="0.25">
      <c r="P41" s="286"/>
      <c r="Q41" s="94"/>
    </row>
    <row r="42" spans="1:17" ht="7.5" customHeight="1" x14ac:dyDescent="0.35">
      <c r="C42" s="59"/>
      <c r="D42" s="60"/>
      <c r="E42" s="61"/>
      <c r="F42" s="62"/>
      <c r="G42" s="63"/>
      <c r="H42" s="63"/>
      <c r="I42" s="64"/>
      <c r="J42" s="64"/>
      <c r="K42" s="63"/>
      <c r="L42" s="65"/>
      <c r="M42" s="66"/>
      <c r="N42" s="67"/>
      <c r="O42" s="57"/>
      <c r="P42" s="284"/>
      <c r="Q42" s="58"/>
    </row>
    <row r="43" spans="1:17" s="98" customFormat="1" ht="18.75" customHeight="1" x14ac:dyDescent="0.35">
      <c r="A43" s="36"/>
      <c r="B43" s="36"/>
      <c r="C43" s="99"/>
      <c r="D43" s="50" t="s">
        <v>916</v>
      </c>
      <c r="E43" s="36"/>
      <c r="F43" s="36"/>
      <c r="G43" s="36"/>
      <c r="H43" s="36"/>
      <c r="I43" s="36"/>
      <c r="J43" s="36"/>
      <c r="K43" s="36"/>
      <c r="L43" s="36"/>
      <c r="M43" s="36"/>
      <c r="N43" s="103"/>
      <c r="P43" s="286"/>
    </row>
    <row r="44" spans="1:17" s="98" customFormat="1" ht="7.5" customHeight="1" x14ac:dyDescent="0.35">
      <c r="A44" s="36"/>
      <c r="B44" s="36"/>
      <c r="C44" s="99"/>
      <c r="D44" s="112"/>
      <c r="E44" s="36"/>
      <c r="F44" s="36"/>
      <c r="G44" s="36"/>
      <c r="H44" s="36"/>
      <c r="I44" s="36"/>
      <c r="J44" s="36"/>
      <c r="K44" s="36"/>
      <c r="L44" s="36"/>
      <c r="M44" s="36"/>
      <c r="N44" s="103"/>
      <c r="P44" s="286"/>
    </row>
    <row r="45" spans="1:17" s="98" customFormat="1" ht="15" customHeight="1" x14ac:dyDescent="0.35">
      <c r="A45" s="36"/>
      <c r="B45" s="36"/>
      <c r="C45" s="99"/>
      <c r="D45" s="113"/>
      <c r="E45" s="36"/>
      <c r="F45" s="36"/>
      <c r="G45" s="36"/>
      <c r="H45" s="36"/>
      <c r="I45" s="36"/>
      <c r="J45" s="100" t="str">
        <f>CONCATENATE("(Millions",
                               IF(NOT(ISBLANK(_Currency)), CONCATENATE(" of ", _Currency, ")"), ")"))</f>
        <v>(Millions)</v>
      </c>
      <c r="K45" s="101" t="str">
        <f>IF(TRUE,TEXT(2025-1,"0000"),TEXT(2025-1,"0000"))&amp;" (Act.)"</f>
        <v>2024 (Act.)</v>
      </c>
      <c r="L45" s="101" t="str">
        <f>IF(TRUE,TEXT(2025,"0000"),TEXT(2025,"0000"))&amp;" (Est.)"</f>
        <v>2025 (Est.)</v>
      </c>
      <c r="M45" s="101" t="str">
        <f>IF(TRUE,TEXT(2025+1,"0000"),TEXT(2025+1,"0000"))&amp;" (Proj.)"</f>
        <v>2026 (Proj.)</v>
      </c>
      <c r="N45" s="103"/>
      <c r="P45" s="286"/>
    </row>
    <row r="46" spans="1:17" s="98" customFormat="1" ht="7.5" customHeight="1" x14ac:dyDescent="0.25">
      <c r="A46" s="36"/>
      <c r="B46" s="36"/>
      <c r="C46" s="99"/>
      <c r="D46" s="36"/>
      <c r="E46" s="36"/>
      <c r="F46" s="36"/>
      <c r="G46" s="36"/>
      <c r="H46" s="36"/>
      <c r="I46" s="36"/>
      <c r="J46" s="36"/>
      <c r="K46" s="36"/>
      <c r="L46" s="36"/>
      <c r="M46" s="36"/>
      <c r="N46" s="103"/>
      <c r="P46" s="287"/>
    </row>
    <row r="47" spans="1:17" s="98" customFormat="1" ht="15" customHeight="1" x14ac:dyDescent="0.3">
      <c r="A47" s="36"/>
      <c r="B47" s="36"/>
      <c r="C47" s="99"/>
      <c r="D47" s="84" t="s">
        <v>67</v>
      </c>
      <c r="E47" s="36"/>
      <c r="F47" s="36"/>
      <c r="G47" s="237" t="str">
        <f>+IF(_ESOP?&lt;&gt;"Yes", "Please skip -- these questions only for ESOPs.", "")</f>
        <v>Please skip -- these questions only for ESOPs.</v>
      </c>
      <c r="H47" s="36"/>
      <c r="I47" s="36"/>
      <c r="K47" s="104"/>
      <c r="L47" s="105"/>
      <c r="M47" s="104"/>
      <c r="N47" s="103"/>
      <c r="P47" s="288" t="str">
        <f>IF(AND(IF(ISNUMBER(K49), IF(COUNT(K50:K51)&gt;0, IF(K49=SUM(K50:K51), TRUE, FALSE), TRUE), TRUE),
             IF(ISNUMBER(L49), IF(COUNT(L50:L51)&gt;0, IF(L49=SUM(L50:L51), TRUE, FALSE), TRUE), TRUE),
             IF(ISNUMBER(M49), IF(COUNT(M50:M51)&gt;0, IF(M49=SUM(M50:M51), TRUE, FALSE), TRUE), TRUE)), "OK", "ESOP Contribution totals do not equal sum of components.")</f>
        <v>OK</v>
      </c>
    </row>
    <row r="48" spans="1:17" s="98" customFormat="1" ht="7.5" customHeight="1" x14ac:dyDescent="0.25">
      <c r="A48" s="36"/>
      <c r="B48" s="36"/>
      <c r="C48" s="99"/>
      <c r="D48" s="36"/>
      <c r="E48" s="36"/>
      <c r="F48" s="36"/>
      <c r="G48" s="36"/>
      <c r="H48" s="36"/>
      <c r="I48" s="36"/>
      <c r="J48" s="36"/>
      <c r="K48" s="36"/>
      <c r="L48" s="36"/>
      <c r="M48" s="36"/>
      <c r="N48" s="103"/>
      <c r="P48" s="287"/>
    </row>
    <row r="49" spans="1:17" s="98" customFormat="1" ht="15" customHeight="1" x14ac:dyDescent="0.3">
      <c r="A49" s="36"/>
      <c r="B49" s="36"/>
      <c r="C49" s="99"/>
      <c r="D49" s="117" t="s">
        <v>68</v>
      </c>
      <c r="E49" s="118"/>
      <c r="F49" s="119"/>
      <c r="G49" s="238" t="str">
        <f>IF(_ESOP?&lt;&gt;"Yes", "Please skip -- these questions only for ESOPs.", "")</f>
        <v>Please skip -- these questions only for ESOPs.</v>
      </c>
      <c r="H49" s="118"/>
      <c r="I49" s="118"/>
      <c r="J49" s="120"/>
      <c r="K49" s="121" t="str">
        <f>IF(COUNT(K50:K51)&gt;0, SUM(K50:K51), "")</f>
        <v/>
      </c>
      <c r="L49" s="273" t="str">
        <f>IF(COUNT(L50:L51)&gt;0, SUM(L50:L51), "")</f>
        <v/>
      </c>
      <c r="M49" s="121" t="str">
        <f>IF(COUNT(M50:M51)&gt;0, SUM(M50:M51), "")</f>
        <v/>
      </c>
      <c r="N49" s="103"/>
      <c r="P49" s="289" t="str">
        <f>"CHECK: EBIBET" &amp; "- ESOP Contribution" &amp; " = EBIBT"</f>
        <v>CHECK: EBIBET- ESOP Contribution = EBIBT</v>
      </c>
    </row>
    <row r="50" spans="1:17" s="98" customFormat="1" ht="15" customHeight="1" x14ac:dyDescent="0.3">
      <c r="A50" s="36"/>
      <c r="B50" s="36"/>
      <c r="C50" s="99"/>
      <c r="D50" s="122" t="s">
        <v>783</v>
      </c>
      <c r="E50" s="36"/>
      <c r="F50" s="36"/>
      <c r="G50" s="114"/>
      <c r="H50" s="36"/>
      <c r="J50" s="100"/>
      <c r="K50" s="115"/>
      <c r="L50" s="116"/>
      <c r="M50" s="115"/>
      <c r="N50" s="103"/>
      <c r="P50" s="301" t="str">
        <f>IF(_ESOP?="Yes","Check if Row "&amp;ROW(K47)&amp;" - Row "&amp;ROW(K49)&amp;" = Row "&amp;ROW(K53)&amp;":","For ESOPs only.")</f>
        <v>For ESOPs only.</v>
      </c>
    </row>
    <row r="51" spans="1:17" s="98" customFormat="1" ht="15" customHeight="1" x14ac:dyDescent="0.3">
      <c r="A51" s="36"/>
      <c r="B51" s="36"/>
      <c r="C51" s="99"/>
      <c r="D51" s="122" t="s">
        <v>782</v>
      </c>
      <c r="E51" s="36"/>
      <c r="F51" s="36"/>
      <c r="G51" s="114"/>
      <c r="H51" s="36"/>
      <c r="J51" s="100"/>
      <c r="K51" s="115"/>
      <c r="L51" s="116"/>
      <c r="M51" s="115"/>
      <c r="N51" s="103"/>
      <c r="P51" s="291" t="str">
        <f>IF(_ESOP?="Yes",
_xlfn.CONCAT(
 _xlfn.CONCAT(LEFT(K45,4), ": ", IF(COUNT(K47, K49, K53) &gt;= 2, IF(IFERROR(K47-K49=K53, FALSE), "OK", "Not Equal!"), IF(COUNT(K47, K49, K53)=0, "No Data", "Missing Data"))),
     " | ",
  _xlfn.CONCAT(LEFT(L45,4), ": ", IF(COUNT(L47, L49, L53) &gt;= 2, IF(IFERROR(L47-L49=L53, FALSE), "OK", "Not Equal!"), IF(COUNT(L47, L49, L53)=0, "No Data", "Missing Data"))),
     " | ",
  _xlfn.CONCAT(LEFT(M45,4), ": ", IF(COUNT(M47, M49, M53) &gt;= 2, IF(IFERROR(M47-M49=M53, FALSE), "OK", "Not Equal!"), IF(COUNT(M47, M49, M53)=0, "No Data", "Missing Data")))), "")</f>
        <v/>
      </c>
    </row>
    <row r="52" spans="1:17" s="98" customFormat="1" ht="7.5" customHeight="1" x14ac:dyDescent="0.25">
      <c r="A52" s="36"/>
      <c r="B52" s="36"/>
      <c r="C52" s="99"/>
      <c r="D52" s="36"/>
      <c r="E52" s="36"/>
      <c r="F52" s="36"/>
      <c r="G52" s="36"/>
      <c r="H52" s="36"/>
      <c r="I52" s="36"/>
      <c r="J52" s="36"/>
      <c r="K52" s="36"/>
      <c r="L52" s="36"/>
      <c r="M52" s="36"/>
      <c r="N52" s="103"/>
      <c r="P52" s="292"/>
    </row>
    <row r="53" spans="1:17" s="98" customFormat="1" ht="15" customHeight="1" x14ac:dyDescent="0.3">
      <c r="A53" s="36"/>
      <c r="B53" s="36"/>
      <c r="C53" s="99"/>
      <c r="D53" s="84" t="s">
        <v>69</v>
      </c>
      <c r="E53" s="36"/>
      <c r="F53" s="36"/>
      <c r="G53" s="237" t="str">
        <f>IF(_ESOP?&lt;&gt;"Yes", "Remainder of section for all firms.", "Should = EBIBET - ESOP Contribution (see check box on right).")</f>
        <v>Remainder of section for all firms.</v>
      </c>
      <c r="H53" s="36"/>
      <c r="I53" s="36"/>
      <c r="J53" s="100"/>
      <c r="K53" s="104"/>
      <c r="L53" s="105"/>
      <c r="M53" s="104"/>
      <c r="N53" s="103"/>
      <c r="P53" s="288" t="str">
        <f>IF(OR(AND(COUNT(K47, K49, K53)&gt;=2, IFERROR(NOT(K47-K49=K53), TRUE)),
              AND(COUNT(L47, L49, L53)&gt;=2, IFERROR(NOT(L47-L49=L53), TRUE)),
              AND(COUNT(M47, M49, M53)&gt;=2, IFERROR(NOT(M47-M49=M53), TRUE))), "(EBIBET - ESOP Contribution) should equal EBIBT (see box above).", "OK")</f>
        <v>OK</v>
      </c>
    </row>
    <row r="54" spans="1:17" s="98" customFormat="1" ht="7.5" customHeight="1" x14ac:dyDescent="0.25">
      <c r="A54" s="36"/>
      <c r="B54" s="36"/>
      <c r="C54" s="99"/>
      <c r="D54" s="36"/>
      <c r="E54" s="36"/>
      <c r="F54" s="36"/>
      <c r="G54" s="36"/>
      <c r="H54" s="36"/>
      <c r="I54" s="36"/>
      <c r="J54" s="36"/>
      <c r="K54" s="36"/>
      <c r="L54" s="36"/>
      <c r="M54" s="36"/>
      <c r="N54" s="103"/>
      <c r="P54" s="293"/>
    </row>
    <row r="55" spans="1:17" s="98" customFormat="1" ht="15" customHeight="1" x14ac:dyDescent="0.3">
      <c r="A55" s="36"/>
      <c r="B55" s="36"/>
      <c r="C55" s="99"/>
      <c r="D55" s="123" t="s">
        <v>70</v>
      </c>
      <c r="E55" s="118"/>
      <c r="F55" s="118"/>
      <c r="G55" s="118"/>
      <c r="H55" s="118"/>
      <c r="I55" s="124"/>
      <c r="J55" s="125"/>
      <c r="K55" s="121" t="str">
        <f>IF(COUNT(K56:K58)&gt;0, SUM(K56:K58), "")</f>
        <v/>
      </c>
      <c r="L55" s="273" t="str">
        <f>IF(COUNT(L56:L58)&gt;0, SUM(L56:L58), "")</f>
        <v/>
      </c>
      <c r="M55" s="121" t="str">
        <f>IF(COUNT(M56:M58)&gt;0, SUM(M56:M58), "")</f>
        <v/>
      </c>
      <c r="N55" s="103"/>
      <c r="P55" s="288" t="str">
        <f>IF(AND(IF(ISNUMBER(K55), IF(COUNT(K56:K58)&gt;0, IF(K55=SUM(K56:K58), TRUE, FALSE), TRUE), TRUE),
             IF(ISNUMBER(L55), IF(COUNT(L56:L58)&gt;0, IF(L55=SUM(L56:L58), TRUE, FALSE), TRUE), TRUE),
             IF(ISNUMBER(M55), IF(COUNT(M56:M58)&gt;0, IF(M55=SUM(M56:M58), TRUE, FALSE), TRUE), TRUE)), "OK", "Bonus totals do not equal sum of components.")</f>
        <v>OK</v>
      </c>
    </row>
    <row r="56" spans="1:17" s="98" customFormat="1" ht="15" customHeight="1" x14ac:dyDescent="0.3">
      <c r="A56" s="36"/>
      <c r="B56" s="36"/>
      <c r="C56" s="99"/>
      <c r="D56" s="122" t="s">
        <v>863</v>
      </c>
      <c r="E56" s="36"/>
      <c r="F56" s="36"/>
      <c r="G56" s="36"/>
      <c r="H56" s="36"/>
      <c r="I56" s="36"/>
      <c r="J56" s="100"/>
      <c r="K56" s="115"/>
      <c r="L56" s="116"/>
      <c r="M56" s="115"/>
      <c r="N56" s="103"/>
      <c r="P56" s="286"/>
    </row>
    <row r="57" spans="1:17" s="98" customFormat="1" ht="15" customHeight="1" x14ac:dyDescent="0.3">
      <c r="A57" s="36"/>
      <c r="B57" s="36"/>
      <c r="C57" s="99"/>
      <c r="D57" s="122" t="s">
        <v>864</v>
      </c>
      <c r="E57" s="36"/>
      <c r="F57" s="36"/>
      <c r="G57" s="36"/>
      <c r="H57" s="36"/>
      <c r="I57" s="36"/>
      <c r="J57" s="100"/>
      <c r="K57" s="115"/>
      <c r="L57" s="116"/>
      <c r="M57" s="115"/>
      <c r="N57" s="103"/>
      <c r="P57" s="286"/>
    </row>
    <row r="58" spans="1:17" s="98" customFormat="1" ht="15" customHeight="1" x14ac:dyDescent="0.3">
      <c r="A58" s="36"/>
      <c r="B58" s="36"/>
      <c r="C58" s="99"/>
      <c r="D58" s="122" t="s">
        <v>865</v>
      </c>
      <c r="E58" s="36"/>
      <c r="F58" s="36"/>
      <c r="G58" s="36"/>
      <c r="H58" s="36"/>
      <c r="I58" s="36"/>
      <c r="J58" s="100"/>
      <c r="K58" s="115"/>
      <c r="L58" s="116"/>
      <c r="M58" s="115"/>
      <c r="N58" s="103"/>
      <c r="P58" s="286"/>
    </row>
    <row r="59" spans="1:17" s="98" customFormat="1" ht="7.5" customHeight="1" x14ac:dyDescent="0.25">
      <c r="A59" s="36"/>
      <c r="B59" s="36"/>
      <c r="C59" s="99"/>
      <c r="D59" s="36"/>
      <c r="E59" s="36"/>
      <c r="F59" s="36"/>
      <c r="G59" s="36"/>
      <c r="H59" s="36"/>
      <c r="I59" s="36"/>
      <c r="J59" s="36"/>
      <c r="K59" s="36"/>
      <c r="L59" s="36"/>
      <c r="M59" s="36"/>
      <c r="N59" s="103"/>
      <c r="P59" s="286"/>
    </row>
    <row r="60" spans="1:17" s="98" customFormat="1" ht="15" customHeight="1" x14ac:dyDescent="0.3">
      <c r="A60" s="36"/>
      <c r="B60" s="36"/>
      <c r="C60" s="99"/>
      <c r="D60" s="126" t="s">
        <v>867</v>
      </c>
      <c r="E60" s="36"/>
      <c r="F60" s="36"/>
      <c r="G60" s="36"/>
      <c r="H60" s="36"/>
      <c r="J60" s="426"/>
      <c r="K60" s="144"/>
      <c r="L60" s="245"/>
      <c r="M60" s="144"/>
      <c r="N60" s="103"/>
      <c r="P60" s="286"/>
    </row>
    <row r="61" spans="1:17" customFormat="1" ht="5.0999999999999996" customHeight="1" x14ac:dyDescent="0.25">
      <c r="A61" s="36"/>
      <c r="B61" s="36"/>
      <c r="C61" s="79"/>
      <c r="D61" s="36"/>
      <c r="E61" s="36"/>
      <c r="F61" s="36"/>
      <c r="G61" s="36"/>
      <c r="H61" s="36"/>
      <c r="I61" s="36"/>
      <c r="J61" s="36"/>
      <c r="K61" s="36"/>
      <c r="L61" s="36"/>
      <c r="M61" s="36"/>
      <c r="N61" s="103"/>
      <c r="O61" s="36"/>
      <c r="Q61" s="36"/>
    </row>
    <row r="62" spans="1:17" s="98" customFormat="1" ht="15" customHeight="1" x14ac:dyDescent="0.3">
      <c r="A62" s="36"/>
      <c r="B62" s="36"/>
      <c r="C62" s="99"/>
      <c r="D62" s="126" t="s">
        <v>71</v>
      </c>
      <c r="E62" s="36"/>
      <c r="F62" s="36"/>
      <c r="G62" s="36"/>
      <c r="H62" s="36"/>
      <c r="I62" s="36"/>
      <c r="J62" s="100"/>
      <c r="K62" s="144"/>
      <c r="L62" s="245"/>
      <c r="M62" s="144"/>
      <c r="N62" s="103"/>
      <c r="P62" s="286"/>
    </row>
    <row r="63" spans="1:17" s="98" customFormat="1" ht="15" customHeight="1" x14ac:dyDescent="0.3">
      <c r="A63" s="36"/>
      <c r="B63" s="36"/>
      <c r="C63" s="99"/>
      <c r="D63" s="127" t="s">
        <v>72</v>
      </c>
      <c r="E63" s="36"/>
      <c r="F63" s="36"/>
      <c r="G63" s="36"/>
      <c r="H63" s="36"/>
      <c r="I63" s="36"/>
      <c r="J63" s="100"/>
      <c r="K63" s="144"/>
      <c r="L63" s="245"/>
      <c r="M63" s="144"/>
      <c r="N63" s="103"/>
      <c r="P63" s="286"/>
    </row>
    <row r="64" spans="1:17" s="98" customFormat="1" ht="7.5" customHeight="1" x14ac:dyDescent="0.25">
      <c r="A64" s="36"/>
      <c r="B64" s="36"/>
      <c r="C64" s="99"/>
      <c r="D64" s="36"/>
      <c r="E64" s="36"/>
      <c r="F64" s="36"/>
      <c r="G64" s="36"/>
      <c r="H64" s="36"/>
      <c r="I64" s="36"/>
      <c r="J64" s="36"/>
      <c r="K64" s="36"/>
      <c r="L64" s="36"/>
      <c r="M64" s="36"/>
      <c r="N64" s="103"/>
      <c r="P64" s="286"/>
    </row>
    <row r="65" spans="1:17" s="98" customFormat="1" ht="15" customHeight="1" x14ac:dyDescent="0.3">
      <c r="A65" s="36"/>
      <c r="B65" s="36"/>
      <c r="C65" s="99"/>
      <c r="D65" s="84" t="s">
        <v>866</v>
      </c>
      <c r="E65" s="160"/>
      <c r="F65" s="160" t="s">
        <v>920</v>
      </c>
      <c r="G65" s="36"/>
      <c r="H65" s="36"/>
      <c r="I65" s="36"/>
      <c r="J65" s="100"/>
      <c r="K65" s="423" t="str">
        <f t="shared" ref="K65:M65" si="0">IF(COUNT(K53, K55)=2, K53-K55, "")</f>
        <v/>
      </c>
      <c r="L65" s="424" t="str">
        <f t="shared" si="0"/>
        <v/>
      </c>
      <c r="M65" s="423" t="str">
        <f t="shared" si="0"/>
        <v/>
      </c>
      <c r="N65" s="103"/>
      <c r="P65" s="286"/>
    </row>
    <row r="66" spans="1:17" s="98" customFormat="1" ht="7.5" customHeight="1" x14ac:dyDescent="0.25">
      <c r="A66" s="36"/>
      <c r="B66" s="36"/>
      <c r="C66" s="99"/>
      <c r="D66" s="36"/>
      <c r="E66" s="36"/>
      <c r="F66" s="36"/>
      <c r="G66" s="36"/>
      <c r="H66" s="36"/>
      <c r="I66" s="36"/>
      <c r="J66" s="36"/>
      <c r="K66" s="36"/>
      <c r="L66" s="36"/>
      <c r="M66" s="36"/>
      <c r="N66" s="103"/>
      <c r="P66" s="286"/>
    </row>
    <row r="67" spans="1:17" s="98" customFormat="1" ht="15" customHeight="1" x14ac:dyDescent="0.3">
      <c r="A67" s="36"/>
      <c r="B67" s="36"/>
      <c r="C67" s="99"/>
      <c r="D67" s="84" t="s">
        <v>73</v>
      </c>
      <c r="F67" s="160" t="s">
        <v>921</v>
      </c>
      <c r="G67" s="36"/>
      <c r="H67" s="36"/>
      <c r="J67" s="314"/>
      <c r="K67" s="423" t="str">
        <f>IF(AND(ISNUMBER(K65), COUNT(K62:K63)&gt;0), K65+SUM(K62:K63), "")</f>
        <v/>
      </c>
      <c r="L67" s="424" t="str">
        <f>IF(AND(ISNUMBER(L65), COUNT(L62:L63)&gt;0), L65+SUM(L62:L63), "")</f>
        <v/>
      </c>
      <c r="M67" s="423" t="str">
        <f>IF(AND(ISNUMBER(M65), COUNT(M62:M63)&gt;0), M65+SUM(M62:M63), "")</f>
        <v/>
      </c>
      <c r="N67" s="103"/>
      <c r="P67" s="286"/>
    </row>
    <row r="68" spans="1:17" ht="7.5" customHeight="1" x14ac:dyDescent="0.25">
      <c r="C68" s="79"/>
      <c r="N68" s="80"/>
      <c r="P68" s="286"/>
    </row>
    <row r="69" spans="1:17" s="98" customFormat="1" ht="15" customHeight="1" x14ac:dyDescent="0.3">
      <c r="A69" s="36"/>
      <c r="B69" s="36"/>
      <c r="C69" s="99"/>
      <c r="D69" s="126" t="s">
        <v>74</v>
      </c>
      <c r="E69" s="36"/>
      <c r="F69" s="36"/>
      <c r="G69" s="36"/>
      <c r="H69" s="36"/>
      <c r="J69" s="36"/>
      <c r="K69" s="144"/>
      <c r="L69" s="245"/>
      <c r="M69" s="144"/>
      <c r="N69" s="103"/>
      <c r="P69" s="286"/>
    </row>
    <row r="70" spans="1:17" s="98" customFormat="1" ht="15" customHeight="1" x14ac:dyDescent="0.3">
      <c r="A70" s="36"/>
      <c r="B70" s="36"/>
      <c r="C70" s="99"/>
      <c r="D70" s="127" t="s">
        <v>460</v>
      </c>
      <c r="E70" s="36"/>
      <c r="F70" s="36"/>
      <c r="G70" s="36"/>
      <c r="H70" s="36"/>
      <c r="J70" s="36"/>
      <c r="K70" s="144"/>
      <c r="L70" s="245"/>
      <c r="M70" s="144"/>
      <c r="N70" s="103"/>
      <c r="P70" s="286"/>
    </row>
    <row r="71" spans="1:17" ht="7.5" customHeight="1" x14ac:dyDescent="0.35">
      <c r="A71" s="36" t="s">
        <v>459</v>
      </c>
      <c r="C71" s="85"/>
      <c r="D71" s="86"/>
      <c r="E71" s="87"/>
      <c r="F71" s="88"/>
      <c r="G71" s="89"/>
      <c r="H71" s="89"/>
      <c r="I71" s="90"/>
      <c r="J71" s="90"/>
      <c r="K71" s="89"/>
      <c r="L71" s="91"/>
      <c r="M71" s="92"/>
      <c r="N71" s="93"/>
      <c r="O71" s="57"/>
      <c r="P71" s="284"/>
      <c r="Q71" s="58"/>
    </row>
    <row r="72" spans="1:17" ht="7.5" customHeight="1" x14ac:dyDescent="0.25">
      <c r="P72" s="286"/>
      <c r="Q72" s="94"/>
    </row>
    <row r="73" spans="1:17" ht="7.5" customHeight="1" x14ac:dyDescent="0.35">
      <c r="C73" s="59"/>
      <c r="D73" s="60"/>
      <c r="E73" s="61"/>
      <c r="F73" s="62"/>
      <c r="G73" s="63"/>
      <c r="H73" s="63"/>
      <c r="I73" s="64"/>
      <c r="J73" s="64"/>
      <c r="K73" s="63"/>
      <c r="L73" s="65"/>
      <c r="M73" s="66"/>
      <c r="N73" s="67"/>
      <c r="O73" s="57"/>
      <c r="P73" s="284"/>
      <c r="Q73" s="58"/>
    </row>
    <row r="74" spans="1:17" ht="18.75" customHeight="1" x14ac:dyDescent="0.35">
      <c r="C74" s="79"/>
      <c r="D74" s="50" t="s">
        <v>868</v>
      </c>
      <c r="N74" s="80"/>
      <c r="P74" s="7"/>
    </row>
    <row r="75" spans="1:17" ht="7.5" customHeight="1" x14ac:dyDescent="0.25">
      <c r="C75" s="79"/>
      <c r="N75" s="80"/>
      <c r="P75" s="7"/>
    </row>
    <row r="76" spans="1:17" ht="18.75" customHeight="1" x14ac:dyDescent="0.3">
      <c r="C76" s="79"/>
      <c r="D76" s="128" t="str">
        <f>CONCATENATE("Please estimate the “average” or “typical” value from ", IF(TRUE,TEXT(2025-1,"0000"),TEXT(2025-1,"0000")), " (in millions",
                               IF(NOT(ISBLANK(_Currency)), CONCATENATE(" of ", _Currency, ")."), ")."))</f>
        <v>Please estimate the “average” or “typical” value from 2024 (in millions).</v>
      </c>
      <c r="N76" s="80"/>
      <c r="P76" s="7"/>
    </row>
    <row r="77" spans="1:17" ht="7.5" customHeight="1" x14ac:dyDescent="0.25">
      <c r="C77" s="79"/>
      <c r="N77" s="129"/>
      <c r="P77" s="7"/>
    </row>
    <row r="78" spans="1:17" ht="15" customHeight="1" x14ac:dyDescent="0.35">
      <c r="C78" s="79"/>
      <c r="E78" s="130" t="s">
        <v>79</v>
      </c>
      <c r="F78" s="131"/>
      <c r="G78" s="132"/>
      <c r="H78" s="100" t="str">
        <f>CONCATENATE("(Millions",
                               IF(NOT(ISBLANK(_Currency)), CONCATENATE(" of ", _Currency, ")"), ")"))</f>
        <v>(Millions)</v>
      </c>
      <c r="J78" s="130" t="s">
        <v>85</v>
      </c>
      <c r="K78" s="131"/>
      <c r="L78" s="132"/>
      <c r="M78" s="100" t="str">
        <f>CONCATENATE("(Millions",
                               IF(NOT(ISBLANK(_Currency)), CONCATENATE(" of ", _Currency, ")"), ")"))</f>
        <v>(Millions)</v>
      </c>
      <c r="N78" s="129"/>
      <c r="P78" s="7"/>
    </row>
    <row r="79" spans="1:17" ht="7.5" customHeight="1" x14ac:dyDescent="0.25">
      <c r="C79" s="79"/>
      <c r="N79" s="129"/>
      <c r="P79" s="7"/>
    </row>
    <row r="80" spans="1:17" ht="15" customHeight="1" x14ac:dyDescent="0.3">
      <c r="C80" s="79"/>
      <c r="E80" s="126" t="s">
        <v>479</v>
      </c>
      <c r="H80" s="133"/>
      <c r="J80" s="126" t="s">
        <v>483</v>
      </c>
      <c r="M80" s="133"/>
      <c r="N80" s="134"/>
      <c r="P80" s="7"/>
    </row>
    <row r="81" spans="3:16" ht="15" customHeight="1" x14ac:dyDescent="0.3">
      <c r="C81" s="79"/>
      <c r="E81" s="135" t="s">
        <v>81</v>
      </c>
      <c r="F81" s="135"/>
      <c r="G81" s="135"/>
      <c r="H81" s="433" t="str">
        <f>IF(COUNT(H82:H83)&gt;0,
             SUM(H82:H83), "")</f>
        <v/>
      </c>
      <c r="J81" s="126" t="s">
        <v>86</v>
      </c>
      <c r="M81" s="133"/>
      <c r="N81" s="80"/>
      <c r="P81" s="286" t="str">
        <f>IF(COUNT(H82:H83)&gt;0,
       IF(H81=SUM(H82:H83), "OK", "Total A/R must equal sum of components."), "OK")</f>
        <v>OK</v>
      </c>
    </row>
    <row r="82" spans="3:16" ht="15" customHeight="1" x14ac:dyDescent="0.3">
      <c r="C82" s="79"/>
      <c r="E82" s="122" t="s">
        <v>480</v>
      </c>
      <c r="H82" s="271"/>
      <c r="J82" s="135" t="s">
        <v>484</v>
      </c>
      <c r="K82" s="135"/>
      <c r="L82" s="135"/>
      <c r="M82" s="435" t="str">
        <f>IF(COUNT(M83:M84)&gt;0,
             SUM(M83:M84), "")</f>
        <v/>
      </c>
      <c r="N82" s="80"/>
      <c r="P82" s="286" t="str">
        <f>IF(COUNT(M83:M84)&gt;0,
       IF(M82=SUM(M83:M84), "OK", "Total Debt must equal sum of components."), "OK")</f>
        <v>OK</v>
      </c>
    </row>
    <row r="83" spans="3:16" ht="15" customHeight="1" x14ac:dyDescent="0.3">
      <c r="C83" s="79"/>
      <c r="E83" s="137" t="s">
        <v>481</v>
      </c>
      <c r="F83" s="135"/>
      <c r="G83" s="135"/>
      <c r="H83" s="272"/>
      <c r="J83" s="122" t="s">
        <v>485</v>
      </c>
      <c r="M83" s="271"/>
      <c r="N83" s="80"/>
      <c r="P83" s="286"/>
    </row>
    <row r="84" spans="3:16" ht="15" customHeight="1" x14ac:dyDescent="0.3">
      <c r="C84" s="79"/>
      <c r="E84" s="126" t="s">
        <v>82</v>
      </c>
      <c r="H84" s="271"/>
      <c r="J84" s="137" t="s">
        <v>87</v>
      </c>
      <c r="K84" s="135"/>
      <c r="L84" s="135"/>
      <c r="M84" s="272"/>
      <c r="N84" s="80"/>
      <c r="P84" s="286"/>
    </row>
    <row r="85" spans="3:16" ht="15" customHeight="1" x14ac:dyDescent="0.3">
      <c r="C85" s="79"/>
      <c r="E85" s="126" t="s">
        <v>83</v>
      </c>
      <c r="H85" s="271"/>
      <c r="J85" s="126" t="s">
        <v>1319</v>
      </c>
      <c r="M85" s="136"/>
      <c r="N85" s="80"/>
      <c r="P85" s="286"/>
    </row>
    <row r="86" spans="3:16" ht="15" customHeight="1" thickBot="1" x14ac:dyDescent="0.35">
      <c r="C86" s="79"/>
      <c r="E86" s="126" t="s">
        <v>1320</v>
      </c>
      <c r="H86" s="271"/>
      <c r="J86" s="139" t="s">
        <v>88</v>
      </c>
      <c r="K86" s="140"/>
      <c r="L86" s="140"/>
      <c r="M86" s="138"/>
      <c r="N86" s="80"/>
      <c r="P86" s="286"/>
    </row>
    <row r="87" spans="3:16" ht="15" customHeight="1" thickBot="1" x14ac:dyDescent="0.35">
      <c r="C87" s="79"/>
      <c r="E87" s="139" t="s">
        <v>84</v>
      </c>
      <c r="F87" s="140"/>
      <c r="G87" s="140"/>
      <c r="H87" s="378"/>
      <c r="I87" s="142"/>
      <c r="J87" s="84" t="s">
        <v>486</v>
      </c>
      <c r="M87" s="435" t="str">
        <f>IF(COUNT(M80,M81,M82,M85,M86)&gt;0,
              SUM(M80,M81,M82,M85,M86), "")</f>
        <v/>
      </c>
      <c r="N87" s="80"/>
      <c r="P87"/>
    </row>
    <row r="88" spans="3:16" ht="15" customHeight="1" x14ac:dyDescent="0.3">
      <c r="C88" s="79"/>
      <c r="E88" s="84" t="s">
        <v>482</v>
      </c>
      <c r="H88" s="434" t="str">
        <f>IF(COUNT(H80,H81,H84,H85,H86,H87)&gt;0,
              SUM(H80,H81,H84,H85,H86,H87), "")</f>
        <v/>
      </c>
      <c r="N88" s="80"/>
      <c r="P88" s="337"/>
    </row>
    <row r="89" spans="3:16" ht="15" customHeight="1" thickBot="1" x14ac:dyDescent="0.35">
      <c r="C89" s="79"/>
      <c r="J89" s="139" t="s">
        <v>487</v>
      </c>
      <c r="K89" s="140"/>
      <c r="L89" s="140"/>
      <c r="M89" s="141"/>
      <c r="N89" s="80"/>
      <c r="P89" s="338"/>
    </row>
    <row r="90" spans="3:16" ht="15" customHeight="1" x14ac:dyDescent="0.3">
      <c r="C90" s="79"/>
      <c r="J90" s="84" t="s">
        <v>488</v>
      </c>
      <c r="M90" s="434" t="str">
        <f>IF(COUNT(M87,M89)&gt;0,
             SUM(M87,M89), "")</f>
        <v/>
      </c>
      <c r="N90" s="80"/>
      <c r="P90" s="286" t="str">
        <f>IF(COUNT(H88, M90)&gt;0,
       IF(H88=M90, "OK", "Please check Asset / Liability Balance."), "OK")</f>
        <v>OK</v>
      </c>
    </row>
    <row r="91" spans="3:16" ht="7.5" customHeight="1" x14ac:dyDescent="0.3">
      <c r="C91" s="79"/>
      <c r="J91" s="84"/>
      <c r="M91" s="321"/>
      <c r="N91" s="80"/>
      <c r="P91" s="286"/>
    </row>
    <row r="92" spans="3:16" ht="7.5" customHeight="1" x14ac:dyDescent="0.25">
      <c r="C92" s="79"/>
      <c r="N92" s="129"/>
      <c r="P92" s="7"/>
    </row>
    <row r="93" spans="3:16" ht="15" customHeight="1" x14ac:dyDescent="0.35">
      <c r="C93" s="79"/>
      <c r="D93" s="84" t="s">
        <v>492</v>
      </c>
      <c r="H93" s="143"/>
      <c r="L93" s="100" t="str">
        <f>CONCATENATE("(Millions",
                               IF(NOT(ISBLANK(_Currency)), CONCATENATE(" of ", _Currency, ")"), ")"))</f>
        <v>(Millions)</v>
      </c>
      <c r="M93" s="101" t="str">
        <f>IF(TRUE,TEXT(2025-1,"0000"),TEXT(2025-1,"0000"))&amp;" (Act.)"</f>
        <v>2024 (Act.)</v>
      </c>
      <c r="N93" s="129"/>
      <c r="P93" s="7"/>
    </row>
    <row r="94" spans="3:16" ht="7.5" customHeight="1" x14ac:dyDescent="0.3">
      <c r="C94" s="79"/>
      <c r="D94" s="84"/>
      <c r="H94" s="279"/>
      <c r="N94" s="129"/>
      <c r="P94" s="7"/>
    </row>
    <row r="95" spans="3:16" ht="15" customHeight="1" x14ac:dyDescent="0.3">
      <c r="C95" s="79"/>
      <c r="D95" s="84" t="s">
        <v>1036</v>
      </c>
      <c r="H95" s="279"/>
      <c r="J95" s="108"/>
      <c r="K95" s="84"/>
      <c r="L95" s="322" t="s">
        <v>1037</v>
      </c>
      <c r="M95" s="144"/>
      <c r="N95" s="129"/>
      <c r="P95" s="7"/>
    </row>
    <row r="96" spans="3:16" ht="7.5" customHeight="1" x14ac:dyDescent="0.25">
      <c r="C96" s="79"/>
      <c r="N96" s="129"/>
      <c r="P96" s="7"/>
    </row>
    <row r="97" spans="1:17" ht="15" customHeight="1" x14ac:dyDescent="0.3">
      <c r="C97" s="79"/>
      <c r="D97" s="237" t="str">
        <f>IF('Key Financials'!$F$12&lt;&gt;"Private", "Please skip -- these questions only for private firms.", "")</f>
        <v>Please skip -- these questions only for private firms.</v>
      </c>
      <c r="N97" s="129"/>
      <c r="P97" s="7"/>
    </row>
    <row r="98" spans="1:17" ht="7.5" customHeight="1" x14ac:dyDescent="0.25">
      <c r="C98" s="79"/>
      <c r="N98" s="129"/>
      <c r="P98" s="7"/>
    </row>
    <row r="99" spans="1:17" ht="15" customHeight="1" x14ac:dyDescent="0.3">
      <c r="C99" s="79"/>
      <c r="D99" s="84" t="s">
        <v>987</v>
      </c>
      <c r="J99" s="144"/>
      <c r="L99" s="100" t="s">
        <v>493</v>
      </c>
      <c r="M99" s="425" t="str">
        <f>IF(COUNT(M89,J99)=2, M89*J99, "")</f>
        <v/>
      </c>
      <c r="N99" s="80"/>
      <c r="P99" s="286"/>
    </row>
    <row r="100" spans="1:17" s="98" customFormat="1" ht="7.5" customHeight="1" x14ac:dyDescent="0.3">
      <c r="A100" s="36"/>
      <c r="B100" s="36"/>
      <c r="C100" s="145"/>
      <c r="D100" s="36"/>
      <c r="E100" s="36"/>
      <c r="F100" s="36"/>
      <c r="G100" s="36"/>
      <c r="H100" s="36"/>
      <c r="I100" s="36"/>
      <c r="J100" s="36"/>
      <c r="K100" s="36"/>
      <c r="M100" s="36"/>
      <c r="N100" s="103"/>
      <c r="O100" s="36"/>
      <c r="P100" s="293"/>
    </row>
    <row r="101" spans="1:17" s="98" customFormat="1" ht="15" hidden="1" customHeight="1" x14ac:dyDescent="0.3">
      <c r="A101" s="36"/>
      <c r="B101" s="36"/>
      <c r="C101" s="99"/>
      <c r="D101" s="84" t="s">
        <v>494</v>
      </c>
      <c r="E101" s="36"/>
      <c r="F101" s="36"/>
      <c r="G101" s="36"/>
      <c r="H101" s="36"/>
      <c r="J101" s="36"/>
      <c r="K101" s="36"/>
      <c r="M101" s="261"/>
      <c r="N101" s="103"/>
      <c r="O101" s="36"/>
      <c r="P101" s="286"/>
    </row>
    <row r="102" spans="1:17" s="98" customFormat="1" ht="7.5" hidden="1" customHeight="1" x14ac:dyDescent="0.25">
      <c r="A102" s="36"/>
      <c r="B102" s="36"/>
      <c r="C102" s="79"/>
      <c r="D102" s="36"/>
      <c r="E102" s="36"/>
      <c r="F102" s="36"/>
      <c r="G102" s="36"/>
      <c r="H102" s="36"/>
      <c r="I102" s="36"/>
      <c r="J102" s="36"/>
      <c r="K102" s="36"/>
      <c r="M102" s="36"/>
      <c r="N102" s="103"/>
      <c r="O102" s="36"/>
      <c r="P102" s="286"/>
    </row>
    <row r="103" spans="1:17" s="98" customFormat="1" ht="15" customHeight="1" x14ac:dyDescent="0.3">
      <c r="A103" s="36"/>
      <c r="B103" s="36"/>
      <c r="C103" s="99"/>
      <c r="D103" s="84" t="s">
        <v>869</v>
      </c>
      <c r="E103" s="36"/>
      <c r="F103" s="36"/>
      <c r="G103" s="36"/>
      <c r="I103" s="109" t="s">
        <v>497</v>
      </c>
      <c r="K103" s="109" t="s">
        <v>498</v>
      </c>
      <c r="M103" s="109" t="s">
        <v>65</v>
      </c>
      <c r="N103" s="103"/>
      <c r="O103" s="36"/>
      <c r="P103" s="286"/>
    </row>
    <row r="104" spans="1:17" ht="15" customHeight="1" x14ac:dyDescent="0.3">
      <c r="C104" s="79"/>
      <c r="D104" s="84" t="s">
        <v>870</v>
      </c>
      <c r="E104" s="98"/>
      <c r="F104" s="98"/>
      <c r="G104" s="114"/>
      <c r="I104" s="108"/>
      <c r="J104" s="109" t="s">
        <v>496</v>
      </c>
      <c r="K104" s="108"/>
      <c r="L104" s="109" t="s">
        <v>495</v>
      </c>
      <c r="M104" s="449" t="str">
        <f>IF(COUNT(I104,K104)&gt;0, SUM(I104,K104), "")</f>
        <v/>
      </c>
      <c r="N104" s="80"/>
      <c r="P104" s="287"/>
    </row>
    <row r="105" spans="1:17" s="98" customFormat="1" ht="7.5" customHeight="1" x14ac:dyDescent="0.3">
      <c r="A105" s="36"/>
      <c r="B105" s="36"/>
      <c r="C105" s="148"/>
      <c r="D105" s="124"/>
      <c r="E105" s="124"/>
      <c r="F105" s="124"/>
      <c r="G105" s="124"/>
      <c r="H105" s="124"/>
      <c r="I105" s="149"/>
      <c r="J105" s="124"/>
      <c r="K105" s="149"/>
      <c r="L105" s="124"/>
      <c r="M105" s="118"/>
      <c r="N105" s="150"/>
      <c r="O105" s="36"/>
      <c r="P105" s="287"/>
    </row>
    <row r="106" spans="1:17" ht="7.5" customHeight="1" x14ac:dyDescent="0.25"/>
    <row r="108" spans="1:17" ht="7.5" customHeight="1" x14ac:dyDescent="0.25">
      <c r="C108" s="151"/>
      <c r="D108" s="152"/>
      <c r="E108" s="152"/>
      <c r="F108" s="152"/>
      <c r="G108" s="152"/>
      <c r="H108" s="152"/>
      <c r="I108" s="152"/>
      <c r="J108" s="152"/>
      <c r="K108" s="152"/>
      <c r="L108" s="152"/>
      <c r="M108" s="152"/>
      <c r="N108" s="153"/>
    </row>
    <row r="109" spans="1:17" ht="23.25" x14ac:dyDescent="0.35">
      <c r="C109" s="74"/>
      <c r="D109" s="112" t="s">
        <v>1014</v>
      </c>
      <c r="E109" s="58"/>
      <c r="F109" s="58"/>
      <c r="H109" s="75"/>
      <c r="I109" s="75"/>
      <c r="J109" s="75"/>
      <c r="K109" s="75"/>
      <c r="L109" s="58"/>
      <c r="M109" s="58"/>
      <c r="N109" s="76"/>
      <c r="O109" s="58"/>
      <c r="Q109" s="58"/>
    </row>
    <row r="110" spans="1:17" ht="7.5" customHeight="1" x14ac:dyDescent="0.35">
      <c r="B110" s="50"/>
      <c r="C110" s="315"/>
      <c r="D110" s="316"/>
      <c r="E110" s="317"/>
      <c r="F110" s="318"/>
      <c r="G110" s="318"/>
      <c r="H110" s="318"/>
      <c r="I110" s="318"/>
      <c r="J110" s="318"/>
      <c r="K110" s="319"/>
      <c r="L110" s="316"/>
      <c r="M110" s="316"/>
      <c r="N110" s="320"/>
      <c r="O110" s="58"/>
      <c r="P110"/>
    </row>
    <row r="111" spans="1:17" ht="99.95" customHeight="1" x14ac:dyDescent="0.35">
      <c r="B111" s="50"/>
      <c r="C111" s="315"/>
      <c r="D111" s="459" t="s">
        <v>1292</v>
      </c>
      <c r="E111" s="459"/>
      <c r="F111" s="459"/>
      <c r="G111" s="459"/>
      <c r="H111" s="459"/>
      <c r="I111" s="459"/>
      <c r="J111" s="459"/>
      <c r="K111" s="459"/>
      <c r="L111" s="459"/>
      <c r="M111" s="459"/>
      <c r="N111" s="320"/>
      <c r="O111" s="58"/>
      <c r="P111"/>
    </row>
    <row r="112" spans="1:17" ht="7.5" customHeight="1" x14ac:dyDescent="0.35">
      <c r="B112" s="50"/>
      <c r="C112" s="315"/>
      <c r="D112" s="316"/>
      <c r="E112" s="317"/>
      <c r="F112" s="318"/>
      <c r="G112" s="318"/>
      <c r="H112" s="318"/>
      <c r="I112" s="318"/>
      <c r="J112" s="318"/>
      <c r="K112" s="319"/>
      <c r="L112" s="316"/>
      <c r="M112" s="316"/>
      <c r="N112" s="320"/>
      <c r="O112" s="58"/>
      <c r="P112"/>
    </row>
    <row r="113" spans="1:17" ht="15" customHeight="1" x14ac:dyDescent="0.35">
      <c r="B113" s="50"/>
      <c r="C113" s="315"/>
      <c r="D113" s="316"/>
      <c r="E113" s="317"/>
      <c r="F113" s="318"/>
      <c r="G113" s="318"/>
      <c r="H113" s="318"/>
      <c r="L113" s="101" t="str">
        <f>IF(TRUE,TEXT(2025-1,"0000"),TEXT(2025-1,"0000"))&amp;" (Act.)"</f>
        <v>2024 (Act.)</v>
      </c>
      <c r="M113" s="101" t="str">
        <f>IF(TRUE,TEXT(2025,"0000"),TEXT(2025,"0000"))&amp;" (Est.)"</f>
        <v>2025 (Est.)</v>
      </c>
      <c r="N113" s="320"/>
      <c r="O113" s="58"/>
      <c r="P113"/>
    </row>
    <row r="114" spans="1:17" ht="5.0999999999999996" customHeight="1" x14ac:dyDescent="0.35">
      <c r="B114" s="50"/>
      <c r="C114" s="315"/>
      <c r="D114" s="316"/>
      <c r="E114" s="317"/>
      <c r="F114" s="318"/>
      <c r="G114" s="318"/>
      <c r="H114" s="318"/>
      <c r="I114" s="318"/>
      <c r="J114" s="318"/>
      <c r="L114" s="319"/>
      <c r="M114" s="316"/>
      <c r="N114" s="320"/>
      <c r="O114" s="58"/>
      <c r="P114"/>
    </row>
    <row r="115" spans="1:17" ht="15" customHeight="1" x14ac:dyDescent="0.35">
      <c r="B115" s="50"/>
      <c r="C115" s="315"/>
      <c r="D115" s="84" t="s">
        <v>462</v>
      </c>
      <c r="F115" s="160" t="s">
        <v>872</v>
      </c>
      <c r="J115" s="100"/>
      <c r="L115" s="298"/>
      <c r="M115" s="299"/>
      <c r="N115" s="80"/>
      <c r="P115"/>
    </row>
    <row r="116" spans="1:17" ht="15" customHeight="1" x14ac:dyDescent="0.35">
      <c r="B116" s="50"/>
      <c r="C116" s="315"/>
      <c r="D116" s="84" t="s">
        <v>463</v>
      </c>
      <c r="F116" s="161" t="s">
        <v>873</v>
      </c>
      <c r="J116" s="100"/>
      <c r="L116" s="297"/>
      <c r="M116" s="300"/>
      <c r="N116" s="80"/>
      <c r="P116"/>
    </row>
    <row r="117" spans="1:17" ht="7.5" customHeight="1" x14ac:dyDescent="0.35">
      <c r="B117" s="50"/>
      <c r="C117" s="154"/>
      <c r="N117" s="80"/>
      <c r="P117"/>
    </row>
    <row r="118" spans="1:17" ht="15" customHeight="1" x14ac:dyDescent="0.35">
      <c r="B118" s="50"/>
      <c r="C118" s="154"/>
      <c r="D118" s="84" t="s">
        <v>871</v>
      </c>
      <c r="G118" s="98"/>
      <c r="I118" s="98"/>
      <c r="K118" s="78" t="s">
        <v>1283</v>
      </c>
      <c r="L118" s="108"/>
      <c r="N118" s="80"/>
      <c r="P118"/>
    </row>
    <row r="119" spans="1:17" ht="15" customHeight="1" x14ac:dyDescent="0.35">
      <c r="B119" s="50"/>
      <c r="C119" s="154"/>
      <c r="D119" s="160" t="s">
        <v>1501</v>
      </c>
      <c r="G119" s="98"/>
      <c r="I119" s="98"/>
      <c r="K119" s="78" t="s">
        <v>1500</v>
      </c>
      <c r="L119" s="108"/>
      <c r="N119" s="80"/>
      <c r="P119"/>
    </row>
    <row r="120" spans="1:17" ht="15" customHeight="1" x14ac:dyDescent="0.35">
      <c r="B120" s="50"/>
      <c r="C120" s="154"/>
      <c r="E120" s="444" t="s">
        <v>1502</v>
      </c>
      <c r="F120" s="157"/>
      <c r="G120" s="157"/>
      <c r="H120" s="157"/>
      <c r="I120" s="157"/>
      <c r="K120" s="78" t="s">
        <v>1503</v>
      </c>
      <c r="L120" s="108"/>
      <c r="M120" s="155"/>
      <c r="N120" s="159"/>
      <c r="O120" s="58"/>
      <c r="P120"/>
    </row>
    <row r="121" spans="1:17" ht="7.5" customHeight="1" x14ac:dyDescent="0.35">
      <c r="A121" s="36" t="s">
        <v>459</v>
      </c>
      <c r="C121" s="85"/>
      <c r="D121" s="86"/>
      <c r="E121" s="87"/>
      <c r="F121" s="88"/>
      <c r="G121" s="89"/>
      <c r="H121" s="89"/>
      <c r="I121" s="90"/>
      <c r="J121" s="90"/>
      <c r="K121" s="89"/>
      <c r="L121" s="91"/>
      <c r="M121" s="92"/>
      <c r="N121" s="93"/>
      <c r="O121" s="57"/>
      <c r="P121" s="284"/>
      <c r="Q121" s="58"/>
    </row>
    <row r="122" spans="1:17" ht="14.45" customHeight="1" x14ac:dyDescent="0.25"/>
  </sheetData>
  <mergeCells count="2">
    <mergeCell ref="H16:M16"/>
    <mergeCell ref="D111:M111"/>
  </mergeCells>
  <conditionalFormatting sqref="H12 M12">
    <cfRule type="expression" dxfId="194" priority="282">
      <formula>$F$12 &lt;&gt; "Private"</formula>
    </cfRule>
  </conditionalFormatting>
  <conditionalFormatting sqref="J8">
    <cfRule type="expression" dxfId="193" priority="280">
      <formula xml:space="preserve"> $J$6&lt;&gt;"United States"</formula>
    </cfRule>
  </conditionalFormatting>
  <conditionalFormatting sqref="J99 M99 M101 I104 K104 M104">
    <cfRule type="expression" dxfId="192" priority="284">
      <formula>$F$12&lt;&gt;"Private"</formula>
    </cfRule>
  </conditionalFormatting>
  <conditionalFormatting sqref="K47:M47 K49:M51">
    <cfRule type="expression" dxfId="191" priority="64">
      <formula>NOT(_ESOP?="Yes")</formula>
    </cfRule>
  </conditionalFormatting>
  <conditionalFormatting sqref="P6 P8 P10 P12 P14 P33 P47 P53 P55 P81:P82 P88:P91 P104">
    <cfRule type="cellIs" dxfId="190" priority="2" operator="equal">
      <formula>"OK"</formula>
    </cfRule>
  </conditionalFormatting>
  <conditionalFormatting sqref="P6 P8 P10 P12 P14 P33 P53 P55 P81:P82 P88:P91 P104">
    <cfRule type="cellIs" dxfId="189" priority="3" operator="notEqual">
      <formula>"OK"</formula>
    </cfRule>
  </conditionalFormatting>
  <conditionalFormatting sqref="P49:P51">
    <cfRule type="expression" dxfId="188" priority="383">
      <formula>NOT(_ESOP?="Yes")</formula>
    </cfRule>
  </conditionalFormatting>
  <dataValidations disablePrompts="1" count="11">
    <dataValidation type="list" allowBlank="1" showInputMessage="1" showErrorMessage="1" sqref="J6" xr:uid="{5716E24E-B313-4CAD-BDDE-B38C27FDD9AC}">
      <formula1>INDIRECT("Dropdown_Countries")</formula1>
    </dataValidation>
    <dataValidation type="list" allowBlank="1" showInputMessage="1" showErrorMessage="1" sqref="F12" xr:uid="{FE037B41-ACA0-45EC-973C-21AC2E2874C2}">
      <formula1>INDIRECT("Dropdown_PublicPrivate")</formula1>
    </dataValidation>
    <dataValidation type="list" allowBlank="1" showInputMessage="1" showErrorMessage="1" sqref="M12 M101" xr:uid="{294FB20E-7F4E-4584-9820-469DF2C56612}">
      <formula1>INDIRECT("Dropdown_YesNo")</formula1>
    </dataValidation>
    <dataValidation type="list" allowBlank="1" showInputMessage="1" showErrorMessage="1" sqref="F8" xr:uid="{5B82D0AE-2417-4375-8CF9-4602A3A77607}">
      <formula1>INDIRECT("Exchange_Rates_Import[Currency]")</formula1>
    </dataValidation>
    <dataValidation type="list" allowBlank="1" showInputMessage="1" showErrorMessage="1" sqref="F10" xr:uid="{8D7B2737-9BBF-4028-8F60-4B2898FC886A}">
      <formula1>INDIRECT("Dropdown_Months")</formula1>
    </dataValidation>
    <dataValidation type="custom" allowBlank="1" showInputMessage="1" showErrorMessage="1" sqref="K49:M51 K24:M24 K26:M26 K30:M30 K33:M33 K55:M55 G39 K69:M70 H80:H87 M95 M91 G36:H36 L36:M36 I104 K104 M83:M86 J99 M99 K62:M63 M80:M81 K60:M60 L115:M116 J95 M89 L118:L120" xr:uid="{143A11A6-E614-4473-8CC7-796668EB7B7E}">
      <formula1>ISNUMBER(G24)</formula1>
    </dataValidation>
    <dataValidation type="list" allowBlank="1" showInputMessage="1" showErrorMessage="1" sqref="H93:H95" xr:uid="{EF9ACBF3-619D-4E67-8095-11419215E226}">
      <formula1>"Cash, Accrual"</formula1>
    </dataValidation>
    <dataValidation type="list" allowBlank="1" showInputMessage="1" showErrorMessage="1" sqref="H93:H95" xr:uid="{BE40C5C0-8FC8-4C13-8B5F-7E825E9B559F}">
      <formula1>INDIRECT("Dropdown_AcctingMethods")</formula1>
    </dataValidation>
    <dataValidation type="list" allowBlank="1" showInputMessage="1" showErrorMessage="1" sqref="J8" xr:uid="{41318076-0B53-40FC-BF9C-72B73D32D68D}">
      <formula1>IF($J$6="United States", INDIRECT("Dropdown_States"),  INDIRECT("Dropdown_Blank"))</formula1>
    </dataValidation>
    <dataValidation type="list" allowBlank="1" showInputMessage="1" showErrorMessage="1" sqref="H12" xr:uid="{2EC8040D-474C-422C-A08C-968FD069BC01}">
      <formula1>IF($F$12="Private", INDIRECT("Dropdown_PrivateType"), INDIRECT("Dropdown_Blank"))</formula1>
    </dataValidation>
    <dataValidation type="list" allowBlank="1" showInputMessage="1" sqref="F6" xr:uid="{23AEE0E2-A49B-44F4-8D73-0739192CC565}">
      <formula1>INDIRECT("UniqueFirms_Import[Name]")</formula1>
    </dataValidation>
  </dataValidations>
  <pageMargins left="0.7" right="0.7" top="0.75" bottom="0.75" header="0.3" footer="0.3"/>
  <pageSetup scale="47" orientation="portrait" r:id="rId1"/>
  <headerFooter>
    <oddHeader>&amp;C&amp;12 2025 ACEC &amp; EFCG A/E/C Confidential Key Financials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611C-B0A2-4EE8-BE26-3EB69A40B799}">
  <sheetPr codeName="Sheet3">
    <pageSetUpPr fitToPage="1"/>
  </sheetPr>
  <dimension ref="A1:Q112"/>
  <sheetViews>
    <sheetView showGridLines="0" zoomScale="70" zoomScaleNormal="70" zoomScaleSheetLayoutView="70" workbookViewId="0">
      <selection activeCell="Q15" sqref="Q15"/>
    </sheetView>
  </sheetViews>
  <sheetFormatPr defaultColWidth="0" defaultRowHeight="0" customHeight="1" zeroHeight="1" x14ac:dyDescent="0.25"/>
  <cols>
    <col min="1" max="1" width="2.5703125" style="36" customWidth="1"/>
    <col min="2" max="2" width="2.5703125" style="98" customWidth="1"/>
    <col min="3" max="3" width="2.5703125" style="36" customWidth="1"/>
    <col min="4" max="13" width="18.140625" style="98" customWidth="1"/>
    <col min="14" max="14" width="2.5703125" style="182" customWidth="1"/>
    <col min="15" max="15" width="2.5703125" style="98" customWidth="1"/>
    <col min="16" max="16" width="65.5703125" style="44" customWidth="1"/>
    <col min="17" max="17" width="2.5703125" style="98" customWidth="1"/>
    <col min="18" max="16384" width="8.85546875" style="98" hidden="1"/>
  </cols>
  <sheetData>
    <row r="1" spans="3:17" s="36" customFormat="1" ht="15.75" x14ac:dyDescent="0.25">
      <c r="P1" s="282"/>
    </row>
    <row r="2" spans="3:17" s="36" customFormat="1" ht="7.5" customHeight="1" x14ac:dyDescent="0.25">
      <c r="P2" s="282"/>
    </row>
    <row r="3" spans="3:17" s="36" customFormat="1" ht="8.1" customHeight="1" x14ac:dyDescent="0.35">
      <c r="C3" s="59"/>
      <c r="D3" s="60"/>
      <c r="E3" s="61"/>
      <c r="F3" s="62"/>
      <c r="G3" s="63"/>
      <c r="H3" s="63"/>
      <c r="I3" s="64"/>
      <c r="J3" s="64"/>
      <c r="K3" s="63"/>
      <c r="L3" s="65"/>
      <c r="M3" s="66"/>
      <c r="N3" s="67"/>
      <c r="O3" s="57"/>
      <c r="P3" s="284"/>
      <c r="Q3" s="58"/>
    </row>
    <row r="4" spans="3:17" s="36" customFormat="1" ht="18.600000000000001" customHeight="1" x14ac:dyDescent="0.35">
      <c r="C4" s="79"/>
      <c r="D4" s="50" t="s">
        <v>917</v>
      </c>
      <c r="N4" s="80"/>
      <c r="P4"/>
    </row>
    <row r="5" spans="3:17" s="36" customFormat="1" ht="7.5" customHeight="1" x14ac:dyDescent="0.25">
      <c r="C5" s="79"/>
      <c r="N5" s="80"/>
      <c r="P5"/>
    </row>
    <row r="6" spans="3:17" s="36" customFormat="1" ht="87.6" customHeight="1" x14ac:dyDescent="0.35">
      <c r="C6" s="79"/>
      <c r="D6" s="463" t="s">
        <v>874</v>
      </c>
      <c r="E6" s="464"/>
      <c r="F6" s="464"/>
      <c r="G6" s="464"/>
      <c r="H6" s="464"/>
      <c r="I6" s="464"/>
      <c r="J6" s="464"/>
      <c r="K6" s="464"/>
      <c r="L6" s="464"/>
      <c r="M6" s="464"/>
      <c r="N6" s="80"/>
      <c r="P6"/>
    </row>
    <row r="7" spans="3:17" ht="7.5" customHeight="1" x14ac:dyDescent="0.25">
      <c r="C7" s="79"/>
      <c r="D7" s="36"/>
      <c r="E7" s="36"/>
      <c r="F7" s="36"/>
      <c r="G7" s="36"/>
      <c r="H7" s="36"/>
      <c r="I7" s="36"/>
      <c r="J7" s="36"/>
      <c r="K7" s="36"/>
      <c r="L7" s="36"/>
      <c r="M7" s="36"/>
      <c r="N7" s="129"/>
      <c r="O7" s="36"/>
    </row>
    <row r="8" spans="3:17" ht="18.75" customHeight="1" x14ac:dyDescent="0.3">
      <c r="C8" s="79"/>
      <c r="D8" s="254" t="str">
        <f>CONCATENATE("Unless otherwise noted, all data should be from ", IF(TRUE,TEXT(2025-1,"0000"),TEXT(2025-1,"0000")), " and in millions",
                               IF(NOT(ISBLANK(_Currency)), CONCATENATE(" of ", _Currency, "."), "."))</f>
        <v>Unless otherwise noted, all data should be from 2024 and in millions.</v>
      </c>
      <c r="E8" s="36"/>
      <c r="F8" s="36"/>
      <c r="G8" s="36"/>
      <c r="H8" s="36"/>
      <c r="I8" s="36"/>
      <c r="J8" s="36"/>
      <c r="K8" s="36"/>
      <c r="L8" s="36"/>
      <c r="M8" s="36"/>
      <c r="N8" s="129"/>
      <c r="O8" s="36"/>
    </row>
    <row r="9" spans="3:17" ht="7.5" customHeight="1" x14ac:dyDescent="0.25">
      <c r="C9" s="79"/>
      <c r="D9" s="36"/>
      <c r="E9" s="36"/>
      <c r="F9" s="36"/>
      <c r="G9" s="36"/>
      <c r="H9" s="36"/>
      <c r="I9" s="36"/>
      <c r="J9" s="36"/>
      <c r="K9" s="36"/>
      <c r="L9" s="36"/>
      <c r="M9" s="36"/>
      <c r="N9" s="129"/>
      <c r="O9" s="36"/>
    </row>
    <row r="10" spans="3:17" s="36" customFormat="1" ht="21" customHeight="1" x14ac:dyDescent="0.35">
      <c r="C10" s="216"/>
      <c r="K10" s="100" t="str">
        <f>CONCATENATE("(Millions",
                               IF(NOT(ISBLANK(_Currency)), CONCATENATE(" of ", _Currency, ")"), ")"))</f>
        <v>(Millions)</v>
      </c>
      <c r="L10" s="101" t="str">
        <f>IF(TRUE,TEXT(2025-1,"0000"),TEXT(2025-1,"0000"))&amp;" (Act.)"</f>
        <v>2024 (Act.)</v>
      </c>
      <c r="N10" s="129"/>
      <c r="P10"/>
    </row>
    <row r="11" spans="3:17" s="36" customFormat="1" ht="7.5" customHeight="1" x14ac:dyDescent="0.35">
      <c r="C11" s="216"/>
      <c r="N11" s="129"/>
      <c r="P11"/>
    </row>
    <row r="12" spans="3:17" s="36" customFormat="1" ht="18.75" customHeight="1" x14ac:dyDescent="0.3">
      <c r="C12" s="79"/>
      <c r="D12" s="169" t="s">
        <v>879</v>
      </c>
      <c r="N12" s="80"/>
      <c r="P12"/>
    </row>
    <row r="13" spans="3:17" s="36" customFormat="1" ht="7.5" customHeight="1" x14ac:dyDescent="0.25">
      <c r="C13" s="79"/>
      <c r="N13" s="129"/>
      <c r="P13"/>
    </row>
    <row r="14" spans="3:17" s="36" customFormat="1" ht="15" customHeight="1" x14ac:dyDescent="0.3">
      <c r="C14" s="79"/>
      <c r="D14" s="84" t="s">
        <v>66</v>
      </c>
      <c r="F14" s="98"/>
      <c r="K14" s="217" t="str">
        <f>"="&amp;ADDRESS(ROW('Key Financials'!K26), COLUMN('Key Financials'!K26), 4,, "Page 1")</f>
        <v>='Page 1'!K26</v>
      </c>
      <c r="L14" s="228" t="str">
        <f>IF(ISNUMBER('Key Financials'!K26), 'Key Financials'!K26, "")</f>
        <v/>
      </c>
      <c r="N14" s="80"/>
      <c r="P14" s="289" t="s">
        <v>923</v>
      </c>
    </row>
    <row r="15" spans="3:17" s="36" customFormat="1" ht="7.5" customHeight="1" x14ac:dyDescent="0.25">
      <c r="C15" s="79"/>
      <c r="N15" s="80"/>
      <c r="P15"/>
    </row>
    <row r="16" spans="3:17" s="36" customFormat="1" ht="15" customHeight="1" x14ac:dyDescent="0.25">
      <c r="C16" s="79"/>
      <c r="K16" s="81"/>
      <c r="N16" s="129"/>
      <c r="P16" s="290" t="str">
        <f>"Check if "&amp;ADDRESS(ROW('Key Financials'!L115), COLUMN('Key Financials'!L115), 4,, "Page 1")&amp;" = "&amp;ADDRESS(ROW(L14), COLUMN(L14), 4)&amp;" / "&amp;ADDRESS(ROW(L17), COLUMN(L17), 4)&amp;" on this page:"</f>
        <v>Check if 'Page 1'!L115 = L14 / L17 on this page:</v>
      </c>
    </row>
    <row r="17" spans="3:16" s="36" customFormat="1" ht="15" customHeight="1" x14ac:dyDescent="0.3">
      <c r="C17" s="79"/>
      <c r="D17" s="84" t="s">
        <v>876</v>
      </c>
      <c r="F17" s="127"/>
      <c r="K17" s="81"/>
      <c r="L17" s="144"/>
      <c r="N17" s="80"/>
      <c r="P17" s="291" t="str">
        <f>"Value from Page 1: " &amp; IF(ISBLANK('Key Financials'!L115), "N/A", TEXT('Key Financials'!L115, "0.00")) &amp; " | Calculated Value: " &amp; IF(COUNT(L14, L17)=2, TEXT(L14/L17, "0.00"), "N/A")</f>
        <v>Value from Page 1: N/A | Calculated Value: N/A</v>
      </c>
    </row>
    <row r="18" spans="3:16" s="36" customFormat="1" ht="7.5" customHeight="1" x14ac:dyDescent="0.25">
      <c r="C18" s="79"/>
      <c r="N18" s="80"/>
      <c r="P18"/>
    </row>
    <row r="19" spans="3:16" s="36" customFormat="1" ht="15" customHeight="1" x14ac:dyDescent="0.3">
      <c r="C19" s="79"/>
      <c r="D19" s="323" t="s">
        <v>1368</v>
      </c>
      <c r="F19" s="127"/>
      <c r="K19" s="81"/>
      <c r="L19" s="144"/>
      <c r="N19" s="80"/>
      <c r="P19" s="286" t="str">
        <f>IF(COUNT('Key Financials'!L115, L14, L17)=3, IF(MAX(L14/L17, 'Key Financials'!L115) / MIN(L14/L17, 'Key Financials'!L115) &gt; 1.1, "Calculated and entered values for Net Rev. Mult. differ significantly (see box above).", "OK"), "OK")</f>
        <v>OK</v>
      </c>
    </row>
    <row r="20" spans="3:16" s="36" customFormat="1" ht="7.5" customHeight="1" x14ac:dyDescent="0.25">
      <c r="C20" s="79"/>
      <c r="N20" s="80"/>
      <c r="P20"/>
    </row>
    <row r="21" spans="3:16" s="36" customFormat="1" ht="15" customHeight="1" x14ac:dyDescent="0.3">
      <c r="C21" s="79"/>
      <c r="D21" s="84" t="s">
        <v>875</v>
      </c>
      <c r="K21" s="217" t="s">
        <v>1369</v>
      </c>
      <c r="L21" s="228" t="str">
        <f>IF(COUNT(L14,L17,L19)=3, L14-L17+L19, "")</f>
        <v/>
      </c>
      <c r="N21" s="129"/>
      <c r="P21" s="7"/>
    </row>
    <row r="22" spans="3:16" s="36" customFormat="1" ht="7.5" customHeight="1" x14ac:dyDescent="0.25">
      <c r="C22" s="79"/>
      <c r="D22" s="206"/>
      <c r="E22" s="206"/>
      <c r="F22" s="206"/>
      <c r="G22" s="206"/>
      <c r="H22" s="206"/>
      <c r="I22" s="206"/>
      <c r="J22" s="206"/>
      <c r="K22" s="206"/>
      <c r="L22" s="206"/>
      <c r="M22" s="206"/>
      <c r="N22" s="129"/>
      <c r="P22" s="7"/>
    </row>
    <row r="23" spans="3:16" s="36" customFormat="1" ht="7.5" customHeight="1" x14ac:dyDescent="0.25">
      <c r="C23" s="79"/>
      <c r="N23" s="129"/>
      <c r="P23" s="7"/>
    </row>
    <row r="24" spans="3:16" s="36" customFormat="1" ht="39.950000000000003" customHeight="1" x14ac:dyDescent="0.35">
      <c r="C24" s="79"/>
      <c r="D24" s="463" t="s">
        <v>999</v>
      </c>
      <c r="E24" s="464"/>
      <c r="F24" s="464"/>
      <c r="G24" s="464"/>
      <c r="H24" s="464"/>
      <c r="I24" s="464"/>
      <c r="J24" s="464"/>
      <c r="K24" s="464"/>
      <c r="L24" s="464"/>
      <c r="M24" s="464"/>
      <c r="N24" s="80"/>
      <c r="P24" s="7"/>
    </row>
    <row r="25" spans="3:16" s="36" customFormat="1" ht="7.5" customHeight="1" x14ac:dyDescent="0.25">
      <c r="C25" s="79"/>
      <c r="N25" s="129"/>
      <c r="P25" s="7"/>
    </row>
    <row r="26" spans="3:16" s="36" customFormat="1" ht="18.75" customHeight="1" x14ac:dyDescent="0.3">
      <c r="C26" s="79"/>
      <c r="D26" s="169" t="s">
        <v>880</v>
      </c>
      <c r="N26" s="129"/>
      <c r="P26" s="7"/>
    </row>
    <row r="27" spans="3:16" s="36" customFormat="1" ht="7.5" customHeight="1" x14ac:dyDescent="0.25">
      <c r="C27" s="79"/>
      <c r="N27" s="129"/>
      <c r="P27" s="7"/>
    </row>
    <row r="28" spans="3:16" s="36" customFormat="1" ht="54.95" customHeight="1" x14ac:dyDescent="0.3">
      <c r="C28" s="79"/>
      <c r="D28" s="459" t="s">
        <v>1284</v>
      </c>
      <c r="E28" s="465"/>
      <c r="F28" s="465"/>
      <c r="G28" s="465"/>
      <c r="H28" s="465"/>
      <c r="I28" s="465"/>
      <c r="J28" s="465"/>
      <c r="K28" s="465"/>
      <c r="L28" s="465"/>
      <c r="M28" s="465"/>
      <c r="N28" s="80"/>
      <c r="P28" s="7"/>
    </row>
    <row r="29" spans="3:16" s="36" customFormat="1" ht="7.5" customHeight="1" x14ac:dyDescent="0.25">
      <c r="C29" s="79"/>
      <c r="N29" s="129"/>
      <c r="P29" s="7"/>
    </row>
    <row r="30" spans="3:16" s="173" customFormat="1" ht="18.600000000000001" customHeight="1" x14ac:dyDescent="0.3">
      <c r="C30" s="218"/>
      <c r="D30" s="173" t="str">
        <f>CONCATENATE("For each item, please enter ", IF(TRUE,TEXT(2025-1,"0000"),TEXT(2025-1,"0000")), " cost (in millions",
                               IF(NOT(ISBLANK(_Currency)), CONCATENATE(" of ", _Currency, ")"), ")"),
                               ", split between Indirect Labor and Non-Labor. The total cost will auto-populate.")</f>
        <v>For each item, please enter 2024 cost (in millions), split between Indirect Labor and Non-Labor. The total cost will auto-populate.</v>
      </c>
      <c r="N30" s="129"/>
      <c r="P30" s="294"/>
    </row>
    <row r="31" spans="3:16" s="36" customFormat="1" ht="7.5" customHeight="1" x14ac:dyDescent="0.3">
      <c r="C31" s="218"/>
      <c r="N31" s="129"/>
      <c r="P31" s="7"/>
    </row>
    <row r="32" spans="3:16" s="36" customFormat="1" ht="15" customHeight="1" x14ac:dyDescent="0.3">
      <c r="C32" s="79"/>
      <c r="H32" s="219" t="s">
        <v>543</v>
      </c>
      <c r="I32" s="220" t="s">
        <v>496</v>
      </c>
      <c r="J32" s="219" t="s">
        <v>544</v>
      </c>
      <c r="K32" s="220" t="s">
        <v>495</v>
      </c>
      <c r="L32" s="102" t="s">
        <v>844</v>
      </c>
      <c r="N32" s="129"/>
      <c r="P32" s="7"/>
    </row>
    <row r="33" spans="3:16" s="36" customFormat="1" ht="7.5" customHeight="1" x14ac:dyDescent="0.25">
      <c r="C33" s="79"/>
      <c r="N33" s="129"/>
      <c r="P33" s="7"/>
    </row>
    <row r="34" spans="3:16" s="36" customFormat="1" ht="15" customHeight="1" x14ac:dyDescent="0.3">
      <c r="C34" s="79"/>
      <c r="D34" s="126" t="s">
        <v>185</v>
      </c>
      <c r="H34" s="144"/>
      <c r="J34" s="144"/>
      <c r="L34" s="228" t="str">
        <f>IF(COUNT(H34, J34)&gt;0, SUM(H34, J34), "")</f>
        <v/>
      </c>
      <c r="N34" s="80"/>
      <c r="P34" s="286" t="str">
        <f>IF(OR(ISNUMBER(H34), ISNUMBER(J34)),
       IF(L34=SUM(H34, J34), "OK", "Total should equal sum of parts."), "OK")</f>
        <v>OK</v>
      </c>
    </row>
    <row r="35" spans="3:16" s="36" customFormat="1" ht="3.75" customHeight="1" x14ac:dyDescent="0.25">
      <c r="C35" s="79"/>
      <c r="N35" s="80"/>
      <c r="P35" s="7"/>
    </row>
    <row r="36" spans="3:16" s="36" customFormat="1" ht="15" customHeight="1" x14ac:dyDescent="0.3">
      <c r="C36" s="79"/>
      <c r="D36" s="221" t="s">
        <v>537</v>
      </c>
      <c r="G36" s="222"/>
      <c r="H36" s="223"/>
      <c r="J36" s="144"/>
      <c r="L36" s="228" t="str">
        <f>IF(ISNUMBER(J36), J36, "")</f>
        <v/>
      </c>
      <c r="N36" s="80"/>
      <c r="P36" s="286" t="str">
        <f>IF(ISNUMBER(L36),
            IF(L34&lt;L36, "Subcategory must be less than full category.", "OK"), "OK")</f>
        <v>OK</v>
      </c>
    </row>
    <row r="37" spans="3:16" s="36" customFormat="1" ht="7.5" customHeight="1" x14ac:dyDescent="0.25">
      <c r="C37" s="79"/>
      <c r="H37" s="224"/>
      <c r="J37" s="224"/>
      <c r="N37" s="80"/>
      <c r="P37" s="286"/>
    </row>
    <row r="38" spans="3:16" s="36" customFormat="1" ht="15" customHeight="1" x14ac:dyDescent="0.3">
      <c r="C38" s="79"/>
      <c r="D38" s="126" t="s">
        <v>538</v>
      </c>
      <c r="H38" s="144"/>
      <c r="J38" s="144"/>
      <c r="L38" s="228" t="str">
        <f>IF(COUNT(H38, J38)&gt;0, SUM(H38, J38), "")</f>
        <v/>
      </c>
      <c r="N38" s="80"/>
      <c r="P38" s="286" t="str">
        <f>IF(OR(ISNUMBER(H38), ISNUMBER(J38)),
       IF(L38=SUM(H38, J38), "OK", "Total should equal sum of parts."), "OK")</f>
        <v>OK</v>
      </c>
    </row>
    <row r="39" spans="3:16" s="36" customFormat="1" ht="3.75" customHeight="1" x14ac:dyDescent="0.25">
      <c r="C39" s="79"/>
      <c r="N39" s="80"/>
      <c r="P39" s="7"/>
    </row>
    <row r="40" spans="3:16" s="36" customFormat="1" ht="15" customHeight="1" x14ac:dyDescent="0.3">
      <c r="C40" s="79"/>
      <c r="D40" s="221" t="s">
        <v>539</v>
      </c>
      <c r="H40" s="223"/>
      <c r="J40" s="144"/>
      <c r="L40" s="228" t="str">
        <f>IF(ISNUMBER(J40), J40, "")</f>
        <v/>
      </c>
      <c r="N40" s="80"/>
      <c r="P40" s="286" t="str">
        <f>IF(ISNUMBER(L40),
            IF(L38&lt;L40, "Subcategory must be less than full category.", "OK"), "OK")</f>
        <v>OK</v>
      </c>
    </row>
    <row r="41" spans="3:16" s="36" customFormat="1" ht="7.5" customHeight="1" x14ac:dyDescent="0.25">
      <c r="C41" s="79"/>
      <c r="H41" s="224"/>
      <c r="J41" s="224"/>
      <c r="N41" s="80"/>
      <c r="P41" s="286"/>
    </row>
    <row r="42" spans="3:16" s="36" customFormat="1" ht="15" customHeight="1" x14ac:dyDescent="0.3">
      <c r="C42" s="79"/>
      <c r="D42" s="126" t="s">
        <v>186</v>
      </c>
      <c r="H42" s="144"/>
      <c r="J42" s="144"/>
      <c r="L42" s="228" t="str">
        <f>IF(COUNT(H42, J42)&gt;0, SUM(H42, J42), "")</f>
        <v/>
      </c>
      <c r="N42" s="80"/>
      <c r="P42" s="286" t="str">
        <f>IF(OR(ISNUMBER(H42), ISNUMBER(J42)),
       IF(L42=SUM(H42, J42), "OK", "Total should equal sum of parts."), "OK")</f>
        <v>OK</v>
      </c>
    </row>
    <row r="43" spans="3:16" s="36" customFormat="1" ht="7.5" customHeight="1" x14ac:dyDescent="0.25">
      <c r="C43" s="79"/>
      <c r="H43" s="224"/>
      <c r="J43" s="224"/>
      <c r="N43" s="80"/>
      <c r="P43" s="286"/>
    </row>
    <row r="44" spans="3:16" s="36" customFormat="1" ht="15" customHeight="1" x14ac:dyDescent="0.3">
      <c r="C44" s="79"/>
      <c r="D44" s="126" t="s">
        <v>187</v>
      </c>
      <c r="H44" s="144"/>
      <c r="J44" s="144"/>
      <c r="L44" s="228" t="str">
        <f>IF(COUNT(H44, J44)&gt;0, SUM(H44, J44), "")</f>
        <v/>
      </c>
      <c r="N44" s="80"/>
      <c r="P44" s="286" t="str">
        <f>IF(OR(ISNUMBER(H44), ISNUMBER(J44)),
       IF(L44=SUM(H44, J44), "OK", "Total should equal sum of parts."), "OK")</f>
        <v>OK</v>
      </c>
    </row>
    <row r="45" spans="3:16" s="36" customFormat="1" ht="3.75" customHeight="1" x14ac:dyDescent="0.25">
      <c r="C45" s="79"/>
      <c r="N45" s="80"/>
      <c r="P45" s="7"/>
    </row>
    <row r="46" spans="3:16" s="36" customFormat="1" ht="15" customHeight="1" x14ac:dyDescent="0.3">
      <c r="C46" s="79"/>
      <c r="D46" s="221" t="s">
        <v>540</v>
      </c>
      <c r="H46" s="144"/>
      <c r="J46" s="144"/>
      <c r="L46" s="228" t="str">
        <f>IF(COUNT(H46, J46)&gt;0, SUM(H46, J46), "")</f>
        <v/>
      </c>
      <c r="N46" s="80"/>
      <c r="P46" s="286" t="str">
        <f>IF(COUNT(H46, J46, L46)&gt;0,
           IF(L46&lt;&gt;SUM(H46, J46), "Total should equal sum of parts.",
                IF(ISNUMBER(L44), IF(L44&lt;L46, "Subcategory must be less than full category.", "OK"), "OK")), "OK")</f>
        <v>OK</v>
      </c>
    </row>
    <row r="47" spans="3:16" s="36" customFormat="1" ht="7.5" customHeight="1" x14ac:dyDescent="0.25">
      <c r="C47" s="79"/>
      <c r="H47" s="224"/>
      <c r="J47" s="224"/>
      <c r="N47" s="80"/>
      <c r="P47" s="286"/>
    </row>
    <row r="48" spans="3:16" s="36" customFormat="1" ht="15" customHeight="1" x14ac:dyDescent="0.3">
      <c r="C48" s="79"/>
      <c r="D48" s="126" t="s">
        <v>188</v>
      </c>
      <c r="H48" s="144"/>
      <c r="J48" s="144"/>
      <c r="L48" s="228" t="str">
        <f>IF(COUNT(H48, J48)&gt;0, SUM(H48, J48), "")</f>
        <v/>
      </c>
      <c r="M48" s="225"/>
      <c r="N48" s="80"/>
      <c r="P48" s="286" t="str">
        <f>IF(OR(ISNUMBER(H48), ISNUMBER(J48)),
       IF(L48=SUM(H48, J48), "OK", "Total should equal sum of parts."), "OK")</f>
        <v>OK</v>
      </c>
    </row>
    <row r="49" spans="3:16" s="36" customFormat="1" ht="3.75" customHeight="1" x14ac:dyDescent="0.25">
      <c r="C49" s="79"/>
      <c r="N49" s="80"/>
      <c r="P49" s="7"/>
    </row>
    <row r="50" spans="3:16" s="36" customFormat="1" ht="15" customHeight="1" x14ac:dyDescent="0.3">
      <c r="C50" s="79"/>
      <c r="D50" s="221" t="s">
        <v>542</v>
      </c>
      <c r="H50" s="144"/>
      <c r="J50" s="144"/>
      <c r="L50" s="228" t="str">
        <f>IF(COUNT(H50, J50)&gt;0, SUM(H50, J50), "")</f>
        <v/>
      </c>
      <c r="N50" s="80"/>
      <c r="P50" s="286" t="str">
        <f>IF(COUNT(H50, J50, L50)&gt;0,
           IF(L50&lt;&gt;SUM(H50, J50), "Total should equal sum of parts.",
                IF(ISNUMBER(L48), IF(L48&lt;L50, "Subcategory must be less than full category.", "OK"), "OK")), "OK")</f>
        <v>OK</v>
      </c>
    </row>
    <row r="51" spans="3:16" s="36" customFormat="1" ht="7.5" customHeight="1" x14ac:dyDescent="0.25">
      <c r="C51" s="79"/>
      <c r="H51" s="224"/>
      <c r="J51" s="224"/>
      <c r="N51" s="80"/>
      <c r="P51" s="286"/>
    </row>
    <row r="52" spans="3:16" s="36" customFormat="1" ht="15" customHeight="1" x14ac:dyDescent="0.3">
      <c r="C52" s="79"/>
      <c r="D52" s="126" t="s">
        <v>189</v>
      </c>
      <c r="H52" s="144"/>
      <c r="J52" s="144"/>
      <c r="L52" s="228" t="str">
        <f>IF(COUNT(H52, J52)&gt;0, SUM(H52, J52), "")</f>
        <v/>
      </c>
      <c r="N52" s="80"/>
      <c r="P52" s="286" t="str">
        <f>IF(OR(ISNUMBER(H52), ISNUMBER(J52)),
       IF(L52=SUM(H52, J52), "OK", "Total should equal sum of parts."), "OK")</f>
        <v>OK</v>
      </c>
    </row>
    <row r="53" spans="3:16" s="36" customFormat="1" ht="7.5" customHeight="1" x14ac:dyDescent="0.25">
      <c r="C53" s="79"/>
      <c r="H53" s="224"/>
      <c r="J53" s="224"/>
      <c r="N53" s="80"/>
      <c r="P53" s="286"/>
    </row>
    <row r="54" spans="3:16" s="36" customFormat="1" ht="15" customHeight="1" x14ac:dyDescent="0.3">
      <c r="C54" s="79"/>
      <c r="D54" s="126" t="s">
        <v>190</v>
      </c>
      <c r="H54" s="144"/>
      <c r="J54" s="144"/>
      <c r="L54" s="228" t="str">
        <f>IF(COUNT(H54, J54)&gt;0, SUM(H54, J54), "")</f>
        <v/>
      </c>
      <c r="N54" s="80"/>
      <c r="P54" s="286" t="str">
        <f>IF(OR(ISNUMBER(H54), ISNUMBER(J54)),
       IF(L54=SUM(H54, J54), "OK", "Total should equal sum of parts."), "OK")</f>
        <v>OK</v>
      </c>
    </row>
    <row r="55" spans="3:16" s="36" customFormat="1" ht="7.5" customHeight="1" x14ac:dyDescent="0.25">
      <c r="C55" s="79"/>
      <c r="H55" s="224"/>
      <c r="J55" s="224"/>
      <c r="N55" s="80"/>
      <c r="P55" s="286"/>
    </row>
    <row r="56" spans="3:16" s="36" customFormat="1" ht="15" customHeight="1" x14ac:dyDescent="0.3">
      <c r="C56" s="79"/>
      <c r="D56" s="126" t="s">
        <v>541</v>
      </c>
      <c r="H56" s="144"/>
      <c r="J56" s="144"/>
      <c r="L56" s="228" t="str">
        <f>IF(COUNT(H56, J56)&gt;0, SUM(H56, J56), "")</f>
        <v/>
      </c>
      <c r="N56" s="80"/>
      <c r="P56" s="286" t="str">
        <f>IF(OR(ISNUMBER(H56), ISNUMBER(J56)),
       IF(L56=SUM(H56, J56), "OK", "Total should equal sum of parts."), "OK")</f>
        <v>OK</v>
      </c>
    </row>
    <row r="57" spans="3:16" s="36" customFormat="1" ht="7.5" customHeight="1" x14ac:dyDescent="0.25">
      <c r="C57" s="79"/>
      <c r="N57" s="129"/>
      <c r="P57" s="7"/>
    </row>
    <row r="58" spans="3:16" s="36" customFormat="1" ht="15" customHeight="1" x14ac:dyDescent="0.3">
      <c r="C58" s="79"/>
      <c r="D58" s="126" t="s">
        <v>842</v>
      </c>
      <c r="H58" s="144"/>
      <c r="I58" s="223"/>
      <c r="J58" s="98"/>
      <c r="L58" s="228" t="str">
        <f>IF(ISNUMBER(H58), H58, "")</f>
        <v/>
      </c>
      <c r="N58" s="226"/>
      <c r="P58" s="286" t="str">
        <f>IF(ISNUMBER(H58), IF(L58=H58, "OK", "Total should equal sum of parts."), "OK")</f>
        <v>OK</v>
      </c>
    </row>
    <row r="59" spans="3:16" s="36" customFormat="1" ht="7.5" customHeight="1" thickBot="1" x14ac:dyDescent="0.3">
      <c r="C59" s="79"/>
      <c r="D59" s="227"/>
      <c r="E59" s="227"/>
      <c r="F59" s="227"/>
      <c r="G59" s="227"/>
      <c r="H59" s="227"/>
      <c r="I59" s="227"/>
      <c r="J59" s="227"/>
      <c r="K59" s="227"/>
      <c r="L59" s="227"/>
      <c r="N59" s="129"/>
      <c r="P59" s="7"/>
    </row>
    <row r="60" spans="3:16" s="36" customFormat="1" ht="7.5" customHeight="1" thickTop="1" x14ac:dyDescent="0.25">
      <c r="C60" s="79"/>
      <c r="N60" s="129"/>
      <c r="P60" s="7"/>
    </row>
    <row r="61" spans="3:16" s="36" customFormat="1" ht="15" customHeight="1" thickBot="1" x14ac:dyDescent="0.35">
      <c r="C61" s="79"/>
      <c r="D61" s="84" t="s">
        <v>877</v>
      </c>
      <c r="G61" s="217"/>
      <c r="H61" s="332" t="str">
        <f>IF(COUNT(H34,H38,H42,H44,H48,H52,H54,H56,H58)&gt;0, SUM(H34,H38,H42,H44,H48,H52,H54,H56,H58), "")</f>
        <v/>
      </c>
      <c r="I61" s="217"/>
      <c r="J61" s="332" t="str">
        <f>IF(COUNT(J34,J38,J42,J44,J48,J52,J54,J56)&gt;0, SUM(J34,J38,J42,J44,J48,J52,J54,J56), "")</f>
        <v/>
      </c>
      <c r="K61" s="217"/>
      <c r="L61" s="332" t="str">
        <f>IF(COUNT(L34,L38,L42,L44,L48,L52,L54,L56,L58)&gt;0, SUM(L34,L38,L42,L44,L48,L52,L54,L56,L58), "")</f>
        <v/>
      </c>
      <c r="M61" s="36" t="s">
        <v>878</v>
      </c>
      <c r="N61" s="129"/>
      <c r="P61" s="286" t="str">
        <f>IF(OR(ISNUMBER(H61), ISNUMBER(J61)),
       IF(L61=SUM(H61, J61), "OK", "Total should equal sum of parts."), "OK")</f>
        <v>OK</v>
      </c>
    </row>
    <row r="62" spans="3:16" s="36" customFormat="1" ht="7.5" customHeight="1" x14ac:dyDescent="0.25">
      <c r="C62" s="79"/>
      <c r="N62" s="129"/>
      <c r="P62"/>
    </row>
    <row r="63" spans="3:16" s="36" customFormat="1" ht="18.75" customHeight="1" x14ac:dyDescent="0.3">
      <c r="C63" s="79"/>
      <c r="D63" s="169" t="s">
        <v>881</v>
      </c>
      <c r="H63" s="98"/>
      <c r="N63" s="129"/>
      <c r="P63"/>
    </row>
    <row r="64" spans="3:16" s="36" customFormat="1" ht="7.5" customHeight="1" x14ac:dyDescent="0.25">
      <c r="C64" s="79"/>
      <c r="N64" s="129"/>
      <c r="P64"/>
    </row>
    <row r="65" spans="3:16" s="36" customFormat="1" ht="39" customHeight="1" x14ac:dyDescent="0.3">
      <c r="C65" s="79"/>
      <c r="D65" s="459" t="s">
        <v>883</v>
      </c>
      <c r="E65" s="465"/>
      <c r="F65" s="465"/>
      <c r="G65" s="465"/>
      <c r="H65" s="465"/>
      <c r="I65" s="465"/>
      <c r="J65" s="465"/>
      <c r="K65" s="465"/>
      <c r="L65" s="465"/>
      <c r="M65" s="465"/>
      <c r="N65" s="80"/>
      <c r="P65"/>
    </row>
    <row r="66" spans="3:16" s="36" customFormat="1" ht="8.1" customHeight="1" x14ac:dyDescent="0.25">
      <c r="C66" s="79"/>
      <c r="N66" s="129"/>
      <c r="P66"/>
    </row>
    <row r="67" spans="3:16" s="36" customFormat="1" ht="15" customHeight="1" x14ac:dyDescent="0.3">
      <c r="C67" s="79"/>
      <c r="D67" s="126" t="s">
        <v>191</v>
      </c>
      <c r="G67" s="144"/>
      <c r="I67" s="126" t="s">
        <v>188</v>
      </c>
      <c r="L67" s="144"/>
      <c r="N67" s="129"/>
      <c r="P67"/>
    </row>
    <row r="68" spans="3:16" s="36" customFormat="1" ht="8.1" customHeight="1" x14ac:dyDescent="0.25">
      <c r="C68" s="79"/>
      <c r="N68" s="129"/>
      <c r="P68"/>
    </row>
    <row r="69" spans="3:16" s="36" customFormat="1" ht="15" customHeight="1" x14ac:dyDescent="0.3">
      <c r="C69" s="79"/>
      <c r="D69" s="126" t="s">
        <v>1285</v>
      </c>
      <c r="G69" s="144"/>
      <c r="I69" s="126" t="s">
        <v>545</v>
      </c>
      <c r="L69" s="144"/>
      <c r="N69" s="129"/>
      <c r="P69"/>
    </row>
    <row r="70" spans="3:16" s="36" customFormat="1" ht="8.1" customHeight="1" x14ac:dyDescent="0.25">
      <c r="C70" s="79"/>
      <c r="N70" s="129"/>
      <c r="P70"/>
    </row>
    <row r="71" spans="3:16" s="36" customFormat="1" ht="15" customHeight="1" thickBot="1" x14ac:dyDescent="0.35">
      <c r="C71" s="79"/>
      <c r="D71" s="126" t="s">
        <v>192</v>
      </c>
      <c r="G71" s="144"/>
      <c r="I71" s="84" t="s">
        <v>884</v>
      </c>
      <c r="L71" s="332" t="str">
        <f>IF(COUNT(G67,G69,G71,L67,L69)&gt;0, SUM(G67,G69,G71,L67,L69), "")</f>
        <v/>
      </c>
      <c r="N71" s="129"/>
      <c r="P71"/>
    </row>
    <row r="72" spans="3:16" s="36" customFormat="1" ht="8.1" customHeight="1" x14ac:dyDescent="0.25">
      <c r="C72" s="79"/>
      <c r="N72" s="129"/>
      <c r="P72"/>
    </row>
    <row r="73" spans="3:16" s="36" customFormat="1" ht="18.75" customHeight="1" x14ac:dyDescent="0.3">
      <c r="C73" s="79"/>
      <c r="D73" s="169" t="s">
        <v>885</v>
      </c>
      <c r="H73" s="98"/>
      <c r="N73" s="129"/>
      <c r="P73"/>
    </row>
    <row r="74" spans="3:16" s="36" customFormat="1" ht="8.1" customHeight="1" x14ac:dyDescent="0.25">
      <c r="C74" s="79"/>
      <c r="N74" s="129"/>
      <c r="P74"/>
    </row>
    <row r="75" spans="3:16" s="36" customFormat="1" ht="39" customHeight="1" x14ac:dyDescent="0.3">
      <c r="C75" s="79"/>
      <c r="D75" s="459" t="s">
        <v>886</v>
      </c>
      <c r="E75" s="465"/>
      <c r="F75" s="465"/>
      <c r="G75" s="465"/>
      <c r="H75" s="465"/>
      <c r="I75" s="465"/>
      <c r="J75" s="465"/>
      <c r="K75" s="465"/>
      <c r="L75" s="465"/>
      <c r="M75" s="465"/>
      <c r="N75" s="80"/>
      <c r="P75"/>
    </row>
    <row r="76" spans="3:16" s="36" customFormat="1" ht="8.1" customHeight="1" x14ac:dyDescent="0.25">
      <c r="C76" s="79"/>
      <c r="N76" s="129"/>
      <c r="P76"/>
    </row>
    <row r="77" spans="3:16" s="36" customFormat="1" ht="15" customHeight="1" x14ac:dyDescent="0.3">
      <c r="C77" s="79"/>
      <c r="D77" s="126" t="s">
        <v>194</v>
      </c>
      <c r="G77" s="144"/>
      <c r="I77" s="126" t="s">
        <v>181</v>
      </c>
      <c r="L77" s="144"/>
      <c r="N77" s="129"/>
      <c r="P77"/>
    </row>
    <row r="78" spans="3:16" s="36" customFormat="1" ht="8.1" customHeight="1" x14ac:dyDescent="0.25">
      <c r="C78" s="79"/>
      <c r="N78" s="129"/>
      <c r="P78"/>
    </row>
    <row r="79" spans="3:16" s="36" customFormat="1" ht="15" customHeight="1" x14ac:dyDescent="0.3">
      <c r="C79" s="79"/>
      <c r="D79" s="126" t="s">
        <v>195</v>
      </c>
      <c r="G79" s="144"/>
      <c r="I79" s="126" t="s">
        <v>196</v>
      </c>
      <c r="L79" s="144"/>
      <c r="M79" s="237" t="str">
        <f>IF(_ESOP?&lt;&gt;"Yes", "Skip -- ESOPs only.", "")</f>
        <v>Skip -- ESOPs only.</v>
      </c>
      <c r="N79" s="80"/>
      <c r="P79" s="286"/>
    </row>
    <row r="80" spans="3:16" s="36" customFormat="1" ht="8.1" customHeight="1" x14ac:dyDescent="0.25">
      <c r="C80" s="79"/>
      <c r="N80" s="129"/>
      <c r="P80"/>
    </row>
    <row r="81" spans="3:16" s="36" customFormat="1" ht="15" customHeight="1" thickBot="1" x14ac:dyDescent="0.35">
      <c r="C81" s="79"/>
      <c r="D81" s="126" t="s">
        <v>78</v>
      </c>
      <c r="G81" s="144"/>
      <c r="I81" s="84" t="s">
        <v>888</v>
      </c>
      <c r="L81" s="332" t="str">
        <f>IF(COUNT(G77,G79,G81,L77,L79)&gt;0, SUM(G77,G79,G81,L77,L79), "")</f>
        <v/>
      </c>
      <c r="N81" s="129"/>
      <c r="P81"/>
    </row>
    <row r="82" spans="3:16" s="36" customFormat="1" ht="7.5" customHeight="1" x14ac:dyDescent="0.25">
      <c r="C82" s="79"/>
      <c r="N82" s="129"/>
      <c r="P82"/>
    </row>
    <row r="83" spans="3:16" s="36" customFormat="1" ht="18.600000000000001" customHeight="1" x14ac:dyDescent="0.3">
      <c r="C83" s="79"/>
      <c r="D83" s="169" t="s">
        <v>887</v>
      </c>
      <c r="H83" s="98"/>
      <c r="N83" s="129"/>
      <c r="P83"/>
    </row>
    <row r="84" spans="3:16" s="36" customFormat="1" ht="8.1" customHeight="1" x14ac:dyDescent="0.25">
      <c r="C84" s="79"/>
      <c r="N84" s="129"/>
      <c r="P84"/>
    </row>
    <row r="85" spans="3:16" s="36" customFormat="1" ht="15" customHeight="1" x14ac:dyDescent="0.3">
      <c r="C85" s="79"/>
      <c r="D85" s="173" t="s">
        <v>893</v>
      </c>
      <c r="N85" s="129"/>
      <c r="P85"/>
    </row>
    <row r="86" spans="3:16" s="36" customFormat="1" ht="7.5" customHeight="1" x14ac:dyDescent="0.3">
      <c r="C86" s="79"/>
      <c r="D86" s="173"/>
      <c r="N86" s="129"/>
      <c r="P86"/>
    </row>
    <row r="87" spans="3:16" s="36" customFormat="1" ht="15" customHeight="1" x14ac:dyDescent="0.3">
      <c r="C87" s="79"/>
      <c r="D87" s="126" t="s">
        <v>197</v>
      </c>
      <c r="G87" s="144"/>
      <c r="I87" s="126" t="s">
        <v>200</v>
      </c>
      <c r="L87" s="144"/>
      <c r="N87" s="129"/>
      <c r="P87"/>
    </row>
    <row r="88" spans="3:16" s="36" customFormat="1" ht="8.1" customHeight="1" x14ac:dyDescent="0.25">
      <c r="C88" s="79"/>
      <c r="N88" s="129"/>
      <c r="P88"/>
    </row>
    <row r="89" spans="3:16" s="36" customFormat="1" ht="15" customHeight="1" x14ac:dyDescent="0.3">
      <c r="C89" s="79"/>
      <c r="D89" s="126" t="s">
        <v>198</v>
      </c>
      <c r="G89" s="144"/>
      <c r="I89" s="126" t="s">
        <v>547</v>
      </c>
      <c r="L89" s="144"/>
      <c r="N89" s="129"/>
      <c r="P89"/>
    </row>
    <row r="90" spans="3:16" s="36" customFormat="1" ht="8.1" customHeight="1" x14ac:dyDescent="0.25">
      <c r="C90" s="79"/>
      <c r="N90" s="129"/>
      <c r="P90"/>
    </row>
    <row r="91" spans="3:16" s="36" customFormat="1" ht="15" customHeight="1" x14ac:dyDescent="0.3">
      <c r="C91" s="79"/>
      <c r="D91" s="126" t="s">
        <v>199</v>
      </c>
      <c r="G91" s="144"/>
      <c r="I91" s="126" t="s">
        <v>78</v>
      </c>
      <c r="L91" s="144"/>
      <c r="N91" s="80"/>
      <c r="P91"/>
    </row>
    <row r="92" spans="3:16" s="36" customFormat="1" ht="8.1" customHeight="1" x14ac:dyDescent="0.25">
      <c r="C92" s="79"/>
      <c r="N92" s="129"/>
      <c r="P92"/>
    </row>
    <row r="93" spans="3:16" s="36" customFormat="1" ht="15" customHeight="1" thickBot="1" x14ac:dyDescent="0.35">
      <c r="C93" s="79"/>
      <c r="D93" s="126" t="s">
        <v>546</v>
      </c>
      <c r="G93" s="121" t="str">
        <f>IF(COUNT('Key Financials'!K62:K63)&gt;0, SUM('Key Financials'!K62:K63), "")</f>
        <v/>
      </c>
      <c r="I93" s="84" t="s">
        <v>889</v>
      </c>
      <c r="L93" s="332" t="str">
        <f>IF(COUNT(G87,G89,G91,L87,L89,L91)&gt;0, SUM(G87,G89,G91,G93,L87,L89,L91), "")</f>
        <v/>
      </c>
      <c r="N93" s="129"/>
      <c r="P93" s="286" t="str">
        <f>IF(COUNT('Key Financials'!K62:K63)&gt;0, IF(SUM('Key Financials'!K62:K63)=G93, "OK", "Values for Deprec. &amp; Amort. not = to values on Page 1."), "OK")</f>
        <v>OK</v>
      </c>
    </row>
    <row r="94" spans="3:16" s="36" customFormat="1" ht="15" customHeight="1" x14ac:dyDescent="0.3">
      <c r="C94" s="79"/>
      <c r="D94" s="161" t="s">
        <v>922</v>
      </c>
      <c r="G94" s="98"/>
      <c r="N94" s="80"/>
      <c r="P94"/>
    </row>
    <row r="95" spans="3:16" s="36" customFormat="1" ht="7.5" customHeight="1" x14ac:dyDescent="0.25">
      <c r="C95" s="79"/>
      <c r="D95" s="98"/>
      <c r="E95" s="98"/>
      <c r="F95" s="98"/>
      <c r="G95" s="98"/>
      <c r="N95" s="80"/>
      <c r="P95"/>
    </row>
    <row r="96" spans="3:16" s="36" customFormat="1" ht="18.600000000000001" customHeight="1" x14ac:dyDescent="0.3">
      <c r="C96" s="79"/>
      <c r="D96" s="169" t="s">
        <v>890</v>
      </c>
      <c r="H96" s="98"/>
      <c r="N96" s="129"/>
      <c r="P96" s="289" t="s">
        <v>970</v>
      </c>
    </row>
    <row r="97" spans="3:16" s="36" customFormat="1" ht="15" customHeight="1" x14ac:dyDescent="0.25">
      <c r="C97" s="79"/>
      <c r="N97" s="129"/>
      <c r="P97" s="290" t="str">
        <f>_xlfn.CONCAT("Check if ", ADDRESS(ROW('Key Financials'!L116), COLUMN('Key Financials'!L116), 4,, "Page 1"), " = ", ADDRESS(ROW(L17), COLUMN(L17), 4), " / (", ADDRESS(ROW(L17), COLUMN(L17), 4), " + ", ADDRESS(ROW(L100), COLUMN(L100), 4), ") on this page:")</f>
        <v>Check if 'Page 1'!L116 = L17 / (L17 + L100) on this page:</v>
      </c>
    </row>
    <row r="98" spans="3:16" s="36" customFormat="1" ht="15" customHeight="1" x14ac:dyDescent="0.3">
      <c r="C98" s="79"/>
      <c r="D98" s="173" t="s">
        <v>891</v>
      </c>
      <c r="N98" s="129"/>
      <c r="P98" s="291" t="str">
        <f>"Value from Page 1: " &amp; IF(ISBLANK('Key Financials'!L116), "N/A", TEXT('Key Financials'!L116, "0.0%")) &amp; " | Calculated Value: " &amp; IF(COUNT(L17, L100)=2, TEXT(L17/(L17+L100), "0.0%"), "N/A")</f>
        <v>Value from Page 1: N/A | Calculated Value: N/A</v>
      </c>
    </row>
    <row r="99" spans="3:16" s="36" customFormat="1" ht="15" customHeight="1" x14ac:dyDescent="0.25">
      <c r="C99" s="79"/>
      <c r="N99" s="80"/>
      <c r="P99" s="286" t="str">
        <f>IF(COUNT('Key Financials'!L116, L17, L100)=3, IF(MAX(L17/(L17+L100), 'Key Financials'!L116) / MIN(L17/(L17+L100), 'Key Financials'!L116) &gt; 1.1, "Calculated and entered values for utilization rate differ significantly (see box above).", "OK"), "OK")</f>
        <v>OK</v>
      </c>
    </row>
    <row r="100" spans="3:16" s="36" customFormat="1" ht="15" customHeight="1" thickBot="1" x14ac:dyDescent="0.35">
      <c r="C100" s="79"/>
      <c r="D100" s="84" t="s">
        <v>892</v>
      </c>
      <c r="L100" s="332" t="str">
        <f>IF(COUNT(H61, L71)=2, SUM(H61, L71), "")</f>
        <v/>
      </c>
      <c r="N100" s="80"/>
      <c r="P100"/>
    </row>
    <row r="101" spans="3:16" s="36" customFormat="1" ht="8.1" customHeight="1" x14ac:dyDescent="0.25">
      <c r="C101" s="79"/>
      <c r="N101" s="129"/>
      <c r="P101"/>
    </row>
    <row r="102" spans="3:16" s="36" customFormat="1" ht="15" customHeight="1" thickBot="1" x14ac:dyDescent="0.35">
      <c r="C102" s="79"/>
      <c r="D102" s="84" t="s">
        <v>894</v>
      </c>
      <c r="L102" s="332" t="str">
        <f>IF(COUNT(J61,L81,L93)=3,SUM(J61,L81,L93), "")</f>
        <v/>
      </c>
      <c r="N102" s="80"/>
      <c r="P102"/>
    </row>
    <row r="103" spans="3:16" s="36" customFormat="1" ht="15" customHeight="1" thickBot="1" x14ac:dyDescent="0.3">
      <c r="C103" s="79"/>
      <c r="D103" s="227"/>
      <c r="E103" s="227"/>
      <c r="F103" s="227"/>
      <c r="G103" s="227"/>
      <c r="H103" s="227"/>
      <c r="I103" s="227"/>
      <c r="J103" s="227"/>
      <c r="K103" s="227"/>
      <c r="L103" s="227"/>
      <c r="N103" s="129"/>
      <c r="P103" s="286" t="str">
        <f>IF(COUNT('Key Financials'!K53, L21, L105)=3, IF(MAX(L21-L105, 'Key Financials'!K53) / MIN(L21-L105, 'Key Financials'!K53) &gt; 1.2, "Calculated and entered values for EBIBT differ significantly (see box below).", "OK"), "OK")</f>
        <v>OK</v>
      </c>
    </row>
    <row r="104" spans="3:16" s="36" customFormat="1" ht="15" customHeight="1" thickTop="1" x14ac:dyDescent="0.25">
      <c r="C104" s="79"/>
      <c r="N104" s="129"/>
      <c r="P104" s="289" t="s">
        <v>925</v>
      </c>
    </row>
    <row r="105" spans="3:16" s="36" customFormat="1" ht="15" customHeight="1" thickBot="1" x14ac:dyDescent="0.35">
      <c r="C105" s="79"/>
      <c r="D105" s="84" t="s">
        <v>895</v>
      </c>
      <c r="K105" s="100" t="str">
        <f>CONCATENATE("(Millions",
                               IF(NOT(ISBLANK(_Currency)), CONCATENATE(" of ", _Currency, ")"), ")"))</f>
        <v>(Millions)</v>
      </c>
      <c r="L105" s="332" t="str">
        <f>IF(COUNT(L100, L102)=2, SUM(L100, L102),"")</f>
        <v/>
      </c>
      <c r="N105" s="80"/>
      <c r="P105" s="290" t="str">
        <f>"Check if "&amp;ADDRESS(ROW('Key Financials'!K53), COLUMN('Key Financials'!K53), 4,, "Page 1")&amp;" = "&amp;ADDRESS(ROW(L21), COLUMN(L21), 4)&amp;" - "&amp;ADDRESS(ROW(L105), COLUMN(L105), 4)&amp;" on this page:"</f>
        <v>Check if 'Page 1'!K53 = L21 - L105 on this page:</v>
      </c>
    </row>
    <row r="106" spans="3:16" s="36" customFormat="1" ht="15.75" x14ac:dyDescent="0.25">
      <c r="C106" s="148"/>
      <c r="D106" s="118"/>
      <c r="E106" s="118"/>
      <c r="F106" s="118"/>
      <c r="G106" s="118"/>
      <c r="H106" s="118"/>
      <c r="I106" s="118"/>
      <c r="J106" s="118"/>
      <c r="K106" s="118"/>
      <c r="L106" s="118"/>
      <c r="M106" s="118"/>
      <c r="N106" s="181"/>
      <c r="P106" s="291" t="str">
        <f>"Value from Page 1: " &amp; IF(ISBLANK('Key Financials'!K53), "N/A", TEXT('Key Financials'!K53, "0.00")) &amp; " | Calculated Value: " &amp; IF(COUNT(L21, L105)=2, TEXT(L21-L105, "0.00"), "N/A")</f>
        <v>Value from Page 1: N/A | Calculated Value: N/A</v>
      </c>
    </row>
    <row r="107" spans="3:16" ht="7.5" customHeight="1" x14ac:dyDescent="0.25"/>
    <row r="108" spans="3:16" ht="14.45" customHeight="1" x14ac:dyDescent="0.25">
      <c r="D108" s="460" t="s">
        <v>924</v>
      </c>
      <c r="E108" s="461"/>
      <c r="F108" s="461"/>
      <c r="G108" s="461"/>
      <c r="H108" s="461"/>
      <c r="I108" s="461"/>
      <c r="J108" s="461"/>
      <c r="K108" s="461"/>
      <c r="L108" s="462"/>
    </row>
    <row r="109" spans="3:16" ht="14.45" customHeight="1" x14ac:dyDescent="0.25">
      <c r="D109" s="268" t="s">
        <v>926</v>
      </c>
      <c r="E109" s="263"/>
      <c r="F109" s="263"/>
      <c r="G109" s="263"/>
      <c r="H109" s="263"/>
      <c r="I109" s="263"/>
      <c r="J109" s="263"/>
      <c r="K109" s="263"/>
      <c r="L109" s="264"/>
    </row>
    <row r="110" spans="3:16" ht="14.45" customHeight="1" x14ac:dyDescent="0.25">
      <c r="D110" s="265"/>
      <c r="E110" s="269" t="s">
        <v>968</v>
      </c>
      <c r="F110" s="262" t="str">
        <f>IF(COUNT(L17,L100)=2, SUM(L17, L100)&amp; " million " &amp; IF(NOT(ISBLANK(_Currency)), _Currency, "") &amp; " (= DLC + ILC [Cell " &amp; ADDRESS(ROW(L17), COLUMN(L17), 4) &amp; " + Cell " &amp; ADDRESS(ROW(L100), COLUMN(L100), 4) &amp; "])", "Not calculable from inputs.")</f>
        <v>Not calculable from inputs.</v>
      </c>
      <c r="G110" s="266"/>
      <c r="H110" s="266"/>
      <c r="I110" s="269" t="s">
        <v>969</v>
      </c>
      <c r="J110" s="262" t="str">
        <f>IFERROR(TEXT(L105/L17, "0.0%") &amp; " (= OH / DLC [Cell " &amp; ADDRESS(ROW(L105), COLUMN(L105), 4) &amp; " /  Cell " &amp; ADDRESS(ROW(L17), COLUMN(L17), 4) &amp; "])", "Not calculable from inputs.")</f>
        <v>Not calculable from inputs.</v>
      </c>
      <c r="K110" s="266"/>
      <c r="L110" s="267"/>
    </row>
    <row r="111" spans="3:16" customFormat="1" ht="14.45" customHeight="1" x14ac:dyDescent="0.25"/>
    <row r="112" spans="3:16" ht="14.45" customHeight="1" x14ac:dyDescent="0.25"/>
  </sheetData>
  <mergeCells count="6">
    <mergeCell ref="D108:L108"/>
    <mergeCell ref="D6:M6"/>
    <mergeCell ref="D24:M24"/>
    <mergeCell ref="D28:M28"/>
    <mergeCell ref="D65:M65"/>
    <mergeCell ref="D75:M75"/>
  </mergeCells>
  <conditionalFormatting sqref="L79">
    <cfRule type="expression" dxfId="187" priority="47">
      <formula>NOT(_ESOP?="Yes")</formula>
    </cfRule>
  </conditionalFormatting>
  <conditionalFormatting sqref="P19 P93 P103">
    <cfRule type="cellIs" dxfId="186" priority="43" operator="notEqual">
      <formula>"OK"</formula>
    </cfRule>
    <cfRule type="cellIs" dxfId="185" priority="44" operator="equal">
      <formula>"OK"</formula>
    </cfRule>
  </conditionalFormatting>
  <conditionalFormatting sqref="P34 P36 P38 P40 P42 P44 P46 P48 P50 P52 P54 P56 P58 P61">
    <cfRule type="cellIs" dxfId="184" priority="2" operator="notEqual">
      <formula>"OK"</formula>
    </cfRule>
    <cfRule type="cellIs" dxfId="183" priority="3" operator="equal">
      <formula>"OK"</formula>
    </cfRule>
  </conditionalFormatting>
  <conditionalFormatting sqref="P99">
    <cfRule type="cellIs" dxfId="182" priority="4" operator="notEqual">
      <formula>"OK"</formula>
    </cfRule>
    <cfRule type="cellIs" dxfId="181" priority="5" operator="equal">
      <formula>"OK"</formula>
    </cfRule>
  </conditionalFormatting>
  <dataValidations count="1">
    <dataValidation type="custom" allowBlank="1" showInputMessage="1" showErrorMessage="1" sqref="L48 G93 H36 L38 J50 L50 L52 G81 G87 G89 L87 J46 L89 L91 L54 L58 G67 L67 G69 G71 L56 J40 G77 L69 L77 L79 G79 H56 H50 H54 H40 J42 H46 J52 J36 H58:I58 J56 H52 J54 L44 L36 H42 L40 J34 H34 L34 H38 J38 G91 H44 J44 L42 H48 J48 L46 L17 L19" xr:uid="{3D452C3C-D714-4C2D-984C-3B44E9015E18}">
      <formula1>ISNUMBER(G17)</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L35 L21 K10 K14 L39 L43 L45 L49 L53 L55 L57 L37 L41 L47 L51"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35AD-6B96-4472-A423-CC54A64DD80B}">
  <sheetPr codeName="Sheet5">
    <pageSetUpPr fitToPage="1"/>
  </sheetPr>
  <dimension ref="A1:Q309"/>
  <sheetViews>
    <sheetView showGridLines="0" zoomScale="70" zoomScaleNormal="70" zoomScaleSheetLayoutView="70" workbookViewId="0"/>
  </sheetViews>
  <sheetFormatPr defaultColWidth="0" defaultRowHeight="15" customHeight="1" zeroHeight="1" x14ac:dyDescent="0.25"/>
  <cols>
    <col min="1" max="1" width="2.5703125" style="36" customWidth="1"/>
    <col min="2" max="2" width="2.5703125" style="98" customWidth="1"/>
    <col min="3" max="3" width="2.5703125" style="36" customWidth="1"/>
    <col min="4" max="11" width="18.140625" style="98" customWidth="1"/>
    <col min="12" max="12" width="18.140625" style="36" customWidth="1"/>
    <col min="13" max="13" width="18.140625" style="98" customWidth="1"/>
    <col min="14" max="15" width="2.5703125" style="98" customWidth="1"/>
    <col min="16" max="16" width="65.5703125" style="44" customWidth="1"/>
    <col min="17" max="17" width="2.5703125" style="182" customWidth="1"/>
    <col min="18" max="16384" width="8.85546875" style="98" hidden="1"/>
  </cols>
  <sheetData>
    <row r="1" spans="2:17" s="36" customFormat="1" ht="15.75" x14ac:dyDescent="0.25">
      <c r="P1" s="282"/>
    </row>
    <row r="2" spans="2:17" s="36" customFormat="1" ht="7.5" customHeight="1" x14ac:dyDescent="0.25">
      <c r="P2" s="282"/>
    </row>
    <row r="3" spans="2:17" s="36" customFormat="1" ht="8.1" customHeight="1" x14ac:dyDescent="0.35">
      <c r="C3" s="59"/>
      <c r="D3" s="60"/>
      <c r="E3" s="61"/>
      <c r="F3" s="62"/>
      <c r="G3" s="63"/>
      <c r="H3" s="63"/>
      <c r="I3" s="64"/>
      <c r="J3" s="64"/>
      <c r="K3" s="63"/>
      <c r="L3" s="65"/>
      <c r="M3" s="66"/>
      <c r="N3" s="67"/>
      <c r="O3" s="57"/>
      <c r="P3" s="284"/>
      <c r="Q3" s="58"/>
    </row>
    <row r="4" spans="2:17" s="36" customFormat="1" ht="18.75" customHeight="1" x14ac:dyDescent="0.35">
      <c r="C4" s="79"/>
      <c r="D4" s="50" t="s">
        <v>901</v>
      </c>
      <c r="N4" s="80"/>
      <c r="P4"/>
    </row>
    <row r="5" spans="2:17" s="36" customFormat="1" ht="7.5" customHeight="1" x14ac:dyDescent="0.25">
      <c r="C5" s="79"/>
      <c r="N5" s="80"/>
      <c r="P5"/>
    </row>
    <row r="6" spans="2:17" ht="18.75" customHeight="1" x14ac:dyDescent="0.35">
      <c r="B6" s="193"/>
      <c r="C6" s="194"/>
      <c r="D6" s="195" t="str">
        <f>"For each of the following sets of categories, please fill in the percentage of your firm’s " &amp; IF(TRUE,TEXT(2025-1,"0000"),TEXT(2025-1,"0000")) &amp; " Gross Revenues that comes from each category."</f>
        <v>For each of the following sets of categories, please fill in the percentage of your firm’s 2024 Gross Revenues that comes from each category.</v>
      </c>
      <c r="E6" s="36"/>
      <c r="F6" s="36"/>
      <c r="G6" s="36"/>
      <c r="H6" s="36"/>
      <c r="I6" s="36"/>
      <c r="J6" s="36"/>
      <c r="K6" s="36"/>
      <c r="M6" s="36"/>
      <c r="N6" s="80"/>
      <c r="O6" s="36"/>
      <c r="P6"/>
      <c r="Q6" s="49"/>
    </row>
    <row r="7" spans="2:17" ht="18.75" customHeight="1" x14ac:dyDescent="0.35">
      <c r="B7" s="193"/>
      <c r="C7" s="194"/>
      <c r="D7" s="195" t="s">
        <v>591</v>
      </c>
      <c r="E7" s="36"/>
      <c r="F7" s="36"/>
      <c r="G7" s="36"/>
      <c r="H7" s="36"/>
      <c r="I7" s="36"/>
      <c r="J7" s="36"/>
      <c r="K7" s="36"/>
      <c r="M7" s="36"/>
      <c r="N7" s="80"/>
      <c r="O7" s="36"/>
      <c r="P7"/>
      <c r="Q7" s="49"/>
    </row>
    <row r="8" spans="2:17" ht="7.5" customHeight="1" x14ac:dyDescent="0.35">
      <c r="B8" s="193"/>
      <c r="C8" s="194"/>
      <c r="D8" s="36"/>
      <c r="E8" s="36"/>
      <c r="F8" s="36"/>
      <c r="G8" s="36"/>
      <c r="H8" s="36"/>
      <c r="I8" s="36"/>
      <c r="J8" s="36"/>
      <c r="K8" s="36"/>
      <c r="M8" s="36"/>
      <c r="N8" s="80"/>
      <c r="O8" s="36"/>
      <c r="P8"/>
      <c r="Q8" s="49"/>
    </row>
    <row r="9" spans="2:17" ht="39" customHeight="1" x14ac:dyDescent="0.35">
      <c r="B9" s="193"/>
      <c r="C9" s="194"/>
      <c r="D9" s="463" t="s">
        <v>902</v>
      </c>
      <c r="E9" s="464"/>
      <c r="F9" s="464"/>
      <c r="G9" s="464"/>
      <c r="H9" s="464"/>
      <c r="I9" s="464"/>
      <c r="J9" s="464"/>
      <c r="K9" s="464"/>
      <c r="L9" s="464"/>
      <c r="M9" s="464"/>
      <c r="N9" s="80"/>
      <c r="O9" s="36"/>
      <c r="P9"/>
      <c r="Q9" s="49"/>
    </row>
    <row r="10" spans="2:17" ht="7.5" customHeight="1" x14ac:dyDescent="0.25">
      <c r="C10" s="99"/>
      <c r="D10" s="36"/>
      <c r="E10" s="36"/>
      <c r="F10" s="36"/>
      <c r="G10" s="36"/>
      <c r="H10" s="36"/>
      <c r="I10" s="36"/>
      <c r="J10" s="36"/>
      <c r="K10" s="36"/>
      <c r="M10" s="36"/>
      <c r="N10" s="80"/>
      <c r="O10" s="36"/>
      <c r="P10"/>
      <c r="Q10" s="49"/>
    </row>
    <row r="11" spans="2:17" ht="15" customHeight="1" x14ac:dyDescent="0.3">
      <c r="C11" s="99"/>
      <c r="D11" s="196" t="s">
        <v>89</v>
      </c>
      <c r="E11" s="36"/>
      <c r="F11" s="36"/>
      <c r="L11" s="197" t="s">
        <v>65</v>
      </c>
      <c r="M11" s="427" t="str">
        <f>IF(COUNT(E13, H13, K13, E15, H15, K15, E17, H17, K17, E19, H19, K19)&gt;0,
       SUM(E13, H13, K13, E15, H15, K15, E17, H17, K17, E19, H19, K19), "")</f>
        <v/>
      </c>
      <c r="N11" s="80"/>
      <c r="O11" s="36"/>
      <c r="P11" s="286" t="str">
        <f>IF(COUNT(E13, H13, K13, E15, H15, K15, E17, H17, K17, E19, H19, K19)&gt;0,
       IF(M11&lt;&gt;1, "Total not 100%.", "OK"), "OK")</f>
        <v>OK</v>
      </c>
      <c r="Q11" s="98"/>
    </row>
    <row r="12" spans="2:17" ht="7.5" customHeight="1" x14ac:dyDescent="0.25">
      <c r="C12" s="79"/>
      <c r="D12" s="36"/>
      <c r="E12" s="36"/>
      <c r="F12" s="36"/>
      <c r="G12" s="36"/>
      <c r="H12" s="36"/>
      <c r="I12" s="36"/>
      <c r="J12" s="36"/>
      <c r="K12" s="36"/>
      <c r="M12" s="36"/>
      <c r="N12" s="80"/>
      <c r="O12" s="36"/>
      <c r="P12"/>
      <c r="Q12" s="49"/>
    </row>
    <row r="13" spans="2:17" ht="15" customHeight="1" x14ac:dyDescent="0.25">
      <c r="C13" s="99"/>
      <c r="D13" s="198" t="s">
        <v>499</v>
      </c>
      <c r="E13" s="256"/>
      <c r="G13" s="198" t="s">
        <v>90</v>
      </c>
      <c r="H13" s="256"/>
      <c r="J13" s="198" t="s">
        <v>91</v>
      </c>
      <c r="K13" s="256"/>
      <c r="L13" s="98"/>
      <c r="N13" s="134"/>
      <c r="O13" s="182"/>
      <c r="P13" s="295"/>
    </row>
    <row r="14" spans="2:17" ht="7.5" customHeight="1" x14ac:dyDescent="0.25">
      <c r="C14" s="199"/>
      <c r="D14" s="200"/>
      <c r="E14" s="200"/>
      <c r="F14" s="200"/>
      <c r="G14" s="200"/>
      <c r="H14" s="200"/>
      <c r="I14" s="200"/>
      <c r="J14" s="200"/>
      <c r="K14" s="200"/>
      <c r="L14" s="200"/>
      <c r="M14" s="49"/>
      <c r="N14" s="129"/>
      <c r="O14" s="49"/>
      <c r="P14" s="282"/>
      <c r="Q14" s="49"/>
    </row>
    <row r="15" spans="2:17" ht="15" customHeight="1" x14ac:dyDescent="0.25">
      <c r="C15" s="199"/>
      <c r="D15" s="198" t="s">
        <v>92</v>
      </c>
      <c r="E15" s="256"/>
      <c r="F15" s="200"/>
      <c r="G15" s="198" t="s">
        <v>93</v>
      </c>
      <c r="H15" s="256"/>
      <c r="I15" s="200"/>
      <c r="J15" s="198" t="s">
        <v>500</v>
      </c>
      <c r="K15" s="256"/>
      <c r="L15" s="200"/>
      <c r="M15" s="49"/>
      <c r="N15" s="129"/>
      <c r="O15" s="49"/>
      <c r="P15" s="282"/>
      <c r="Q15" s="49"/>
    </row>
    <row r="16" spans="2:17" ht="7.5" customHeight="1" x14ac:dyDescent="0.25">
      <c r="C16" s="199"/>
      <c r="D16" s="200"/>
      <c r="E16" s="200"/>
      <c r="F16" s="200"/>
      <c r="G16" s="200"/>
      <c r="H16" s="200"/>
      <c r="I16" s="200"/>
      <c r="J16" s="200"/>
      <c r="K16" s="200"/>
      <c r="L16" s="200"/>
      <c r="M16" s="49"/>
      <c r="N16" s="129"/>
      <c r="O16" s="49"/>
      <c r="P16" s="282"/>
      <c r="Q16" s="49"/>
    </row>
    <row r="17" spans="3:17" ht="15" customHeight="1" x14ac:dyDescent="0.25">
      <c r="C17" s="199"/>
      <c r="D17" s="198" t="s">
        <v>94</v>
      </c>
      <c r="E17" s="256"/>
      <c r="G17" s="198" t="s">
        <v>501</v>
      </c>
      <c r="H17" s="256"/>
      <c r="J17" s="198" t="s">
        <v>502</v>
      </c>
      <c r="K17" s="256"/>
      <c r="L17" s="200"/>
      <c r="M17" s="49"/>
      <c r="N17" s="129"/>
      <c r="O17" s="49"/>
      <c r="P17" s="282"/>
      <c r="Q17" s="49"/>
    </row>
    <row r="18" spans="3:17" ht="7.5" customHeight="1" x14ac:dyDescent="0.25">
      <c r="C18" s="99"/>
      <c r="L18" s="98"/>
      <c r="N18" s="129"/>
      <c r="O18" s="49"/>
      <c r="P18" s="282"/>
      <c r="Q18" s="49"/>
    </row>
    <row r="19" spans="3:17" s="36" customFormat="1" ht="15" customHeight="1" x14ac:dyDescent="0.25">
      <c r="C19" s="199"/>
      <c r="D19" s="198" t="s">
        <v>95</v>
      </c>
      <c r="E19" s="256"/>
      <c r="F19" s="200"/>
      <c r="G19" s="198" t="s">
        <v>503</v>
      </c>
      <c r="H19" s="256"/>
      <c r="I19" s="200"/>
      <c r="J19" s="198" t="s">
        <v>78</v>
      </c>
      <c r="K19" s="256"/>
      <c r="L19" s="201" t="s">
        <v>903</v>
      </c>
      <c r="M19" s="257"/>
      <c r="N19" s="129"/>
      <c r="O19" s="49"/>
      <c r="P19" s="282"/>
      <c r="Q19" s="49"/>
    </row>
    <row r="20" spans="3:17" ht="7.5" customHeight="1" x14ac:dyDescent="0.25">
      <c r="C20" s="99"/>
      <c r="D20" s="124"/>
      <c r="E20" s="124"/>
      <c r="F20" s="124"/>
      <c r="G20" s="124"/>
      <c r="H20" s="124"/>
      <c r="I20" s="118"/>
      <c r="J20" s="118"/>
      <c r="K20" s="118"/>
      <c r="L20" s="118"/>
      <c r="M20" s="202"/>
      <c r="N20" s="129"/>
      <c r="O20" s="49"/>
      <c r="P20" s="282"/>
      <c r="Q20" s="49"/>
    </row>
    <row r="21" spans="3:17" ht="7.5" customHeight="1" x14ac:dyDescent="0.25">
      <c r="C21" s="99"/>
      <c r="I21" s="36"/>
      <c r="J21" s="36"/>
      <c r="K21" s="36"/>
      <c r="M21" s="49"/>
      <c r="N21" s="129"/>
      <c r="O21" s="49"/>
      <c r="P21" s="282"/>
      <c r="Q21" s="49"/>
    </row>
    <row r="22" spans="3:17" ht="15" customHeight="1" x14ac:dyDescent="0.3">
      <c r="C22" s="203"/>
      <c r="D22" s="196" t="s">
        <v>147</v>
      </c>
      <c r="E22" s="36"/>
      <c r="F22" s="36"/>
      <c r="G22" s="36"/>
      <c r="H22" s="36"/>
      <c r="I22" s="36"/>
      <c r="J22" s="36"/>
      <c r="K22" s="36"/>
      <c r="L22" s="197" t="s">
        <v>65</v>
      </c>
      <c r="M22" s="427" t="str">
        <f>IF(COUNT(E24, H24, K24, E26, H26, K26, H28, E28, E30, H30, K28, K30)&gt;0,
       SUM(E24, H24, K24, E26, H26, K26, H28, E28, E30, H30, K28, K30), "")</f>
        <v/>
      </c>
      <c r="N22" s="80"/>
      <c r="O22" s="36"/>
      <c r="P22" s="286" t="str">
        <f>IF(COUNT(E24, H24, K24, E26, H26, K26, H28, E28, E30, H30, K28, K30)&gt;0,
       IF(M22&lt;&gt;1, "Total not 100%.", "OK"), "OK")</f>
        <v>OK</v>
      </c>
      <c r="Q22" s="49"/>
    </row>
    <row r="23" spans="3:17" s="36" customFormat="1" ht="7.5" customHeight="1" x14ac:dyDescent="0.25">
      <c r="C23" s="79"/>
      <c r="N23" s="80"/>
      <c r="P23"/>
    </row>
    <row r="24" spans="3:17" s="36" customFormat="1" ht="15" customHeight="1" x14ac:dyDescent="0.25">
      <c r="C24" s="79"/>
      <c r="D24" s="204" t="s">
        <v>913</v>
      </c>
      <c r="E24" s="256"/>
      <c r="F24" s="98"/>
      <c r="G24" s="204" t="s">
        <v>149</v>
      </c>
      <c r="H24" s="256"/>
      <c r="I24" s="98"/>
      <c r="J24" s="204" t="s">
        <v>150</v>
      </c>
      <c r="K24" s="256"/>
      <c r="N24" s="80"/>
      <c r="P24"/>
    </row>
    <row r="25" spans="3:17" s="36" customFormat="1" ht="7.5" customHeight="1" x14ac:dyDescent="0.25">
      <c r="C25" s="79"/>
      <c r="N25" s="80"/>
      <c r="P25"/>
      <c r="Q25" s="49"/>
    </row>
    <row r="26" spans="3:17" ht="15" customHeight="1" x14ac:dyDescent="0.25">
      <c r="C26" s="79"/>
      <c r="D26" s="204" t="s">
        <v>914</v>
      </c>
      <c r="E26" s="256"/>
      <c r="G26" s="204" t="s">
        <v>152</v>
      </c>
      <c r="H26" s="256"/>
      <c r="J26" s="204" t="s">
        <v>153</v>
      </c>
      <c r="K26" s="256"/>
      <c r="N26" s="103"/>
    </row>
    <row r="27" spans="3:17" ht="7.5" customHeight="1" x14ac:dyDescent="0.25">
      <c r="C27" s="79"/>
      <c r="N27" s="103"/>
    </row>
    <row r="28" spans="3:17" ht="15" customHeight="1" x14ac:dyDescent="0.25">
      <c r="C28" s="79"/>
      <c r="D28" s="204" t="s">
        <v>154</v>
      </c>
      <c r="E28" s="256"/>
      <c r="G28" s="204" t="s">
        <v>508</v>
      </c>
      <c r="H28" s="256"/>
      <c r="J28" s="204" t="s">
        <v>511</v>
      </c>
      <c r="K28" s="256"/>
      <c r="N28" s="103"/>
    </row>
    <row r="29" spans="3:17" s="36" customFormat="1" ht="7.5" customHeight="1" x14ac:dyDescent="0.25">
      <c r="C29" s="79"/>
      <c r="N29" s="129"/>
      <c r="P29"/>
    </row>
    <row r="30" spans="3:17" s="36" customFormat="1" ht="15" customHeight="1" x14ac:dyDescent="0.25">
      <c r="C30" s="79"/>
      <c r="D30" s="204" t="s">
        <v>509</v>
      </c>
      <c r="E30" s="256"/>
      <c r="G30" s="204" t="s">
        <v>510</v>
      </c>
      <c r="H30" s="256"/>
      <c r="J30" s="204" t="s">
        <v>78</v>
      </c>
      <c r="K30" s="256"/>
      <c r="L30" s="201" t="s">
        <v>903</v>
      </c>
      <c r="M30" s="257"/>
      <c r="N30" s="80"/>
      <c r="P30"/>
    </row>
    <row r="31" spans="3:17" ht="7.5" customHeight="1" x14ac:dyDescent="0.25">
      <c r="C31" s="99"/>
      <c r="D31" s="124"/>
      <c r="E31" s="124"/>
      <c r="F31" s="124"/>
      <c r="G31" s="124"/>
      <c r="H31" s="124"/>
      <c r="I31" s="118"/>
      <c r="J31" s="118"/>
      <c r="K31" s="118"/>
      <c r="L31" s="118"/>
      <c r="M31" s="202"/>
      <c r="N31" s="129"/>
      <c r="O31" s="49"/>
      <c r="P31" s="282"/>
      <c r="Q31" s="49"/>
    </row>
    <row r="32" spans="3:17" ht="7.5" customHeight="1" x14ac:dyDescent="0.25">
      <c r="C32" s="99"/>
      <c r="I32" s="36"/>
      <c r="J32" s="36"/>
      <c r="K32" s="36"/>
      <c r="M32" s="49"/>
      <c r="N32" s="129"/>
      <c r="O32" s="49"/>
      <c r="P32" s="282"/>
      <c r="Q32" s="49"/>
    </row>
    <row r="33" spans="3:17" ht="15" customHeight="1" x14ac:dyDescent="0.3">
      <c r="C33" s="205"/>
      <c r="D33" s="196" t="s">
        <v>170</v>
      </c>
      <c r="E33" s="49"/>
      <c r="F33" s="49"/>
      <c r="G33" s="49"/>
      <c r="H33" s="49"/>
      <c r="I33" s="49"/>
      <c r="J33" s="49"/>
      <c r="K33" s="49"/>
      <c r="L33" s="197" t="s">
        <v>65</v>
      </c>
      <c r="M33" s="427" t="str">
        <f>IF( COUNT(E35, G35, I35, K35, M35)&gt;0,
       SUM(E35, G35, I35, K35, M35), "")</f>
        <v/>
      </c>
      <c r="N33" s="129"/>
      <c r="O33" s="36"/>
      <c r="P33" s="286" t="str">
        <f>IF( COUNT(E35, G35, I35, K35, M35)&gt;0,
       IF(M33&lt;&gt;1, "Total not 100%.", "OK"), "OK")</f>
        <v>OK</v>
      </c>
      <c r="Q33" s="98"/>
    </row>
    <row r="34" spans="3:17" ht="15" customHeight="1" x14ac:dyDescent="0.25">
      <c r="C34" s="99"/>
      <c r="L34" s="98"/>
      <c r="N34" s="134"/>
      <c r="Q34" s="98"/>
    </row>
    <row r="35" spans="3:17" s="36" customFormat="1" ht="15" customHeight="1" x14ac:dyDescent="0.25">
      <c r="C35" s="205"/>
      <c r="D35" s="204" t="s">
        <v>171</v>
      </c>
      <c r="E35" s="256"/>
      <c r="F35" s="204" t="s">
        <v>172</v>
      </c>
      <c r="G35" s="256"/>
      <c r="H35" s="204" t="s">
        <v>173</v>
      </c>
      <c r="I35" s="256"/>
      <c r="J35" s="204" t="s">
        <v>904</v>
      </c>
      <c r="K35" s="256"/>
      <c r="L35" s="204" t="s">
        <v>174</v>
      </c>
      <c r="M35" s="256"/>
      <c r="N35" s="129"/>
      <c r="P35"/>
    </row>
    <row r="36" spans="3:17" ht="7.5" customHeight="1" x14ac:dyDescent="0.25">
      <c r="C36" s="99"/>
      <c r="D36" s="124"/>
      <c r="E36" s="124"/>
      <c r="F36" s="124"/>
      <c r="G36" s="124"/>
      <c r="H36" s="124"/>
      <c r="I36" s="118"/>
      <c r="J36" s="118"/>
      <c r="K36" s="118"/>
      <c r="L36" s="118"/>
      <c r="M36" s="202"/>
      <c r="N36" s="129"/>
      <c r="O36" s="49"/>
      <c r="P36" s="282"/>
      <c r="Q36" s="49"/>
    </row>
    <row r="37" spans="3:17" ht="7.5" customHeight="1" x14ac:dyDescent="0.25">
      <c r="C37" s="99"/>
      <c r="I37" s="36"/>
      <c r="J37" s="36"/>
      <c r="K37" s="36"/>
      <c r="M37" s="49"/>
      <c r="N37" s="129"/>
      <c r="O37" s="49"/>
      <c r="P37" s="282"/>
      <c r="Q37" s="49"/>
    </row>
    <row r="38" spans="3:17" s="36" customFormat="1" ht="15" customHeight="1" x14ac:dyDescent="0.3">
      <c r="C38" s="79"/>
      <c r="D38" s="196" t="s">
        <v>175</v>
      </c>
      <c r="L38" s="197" t="s">
        <v>65</v>
      </c>
      <c r="M38" s="427" t="str">
        <f>IF(COUNT(E40, H40, E42, H42,K40, M40, K42)&gt;0,
       SUM(E40, H40, E42, H42,K40, M40, K42), "")</f>
        <v/>
      </c>
      <c r="N38" s="80"/>
      <c r="P38" s="286" t="str">
        <f>IF(COUNT(E40, H40, E42, H42,K40, M40, K42)&gt;0,
       IF(M38&lt;&gt;1, "Total not 100%.", "OK"), "OK")</f>
        <v>OK</v>
      </c>
    </row>
    <row r="39" spans="3:17" ht="8.1" customHeight="1" x14ac:dyDescent="0.25">
      <c r="C39" s="79"/>
      <c r="D39" s="36"/>
      <c r="E39" s="36"/>
      <c r="F39" s="36"/>
      <c r="G39" s="36"/>
      <c r="H39" s="36"/>
      <c r="I39" s="36"/>
      <c r="J39" s="36"/>
      <c r="K39" s="36"/>
      <c r="M39" s="36"/>
      <c r="N39" s="129"/>
      <c r="O39" s="36"/>
      <c r="Q39" s="98"/>
    </row>
    <row r="40" spans="3:17" ht="15" customHeight="1" x14ac:dyDescent="0.25">
      <c r="C40" s="99"/>
      <c r="D40" s="204" t="s">
        <v>907</v>
      </c>
      <c r="E40" s="256"/>
      <c r="G40" s="204" t="s">
        <v>825</v>
      </c>
      <c r="H40" s="256"/>
      <c r="J40" s="204" t="s">
        <v>906</v>
      </c>
      <c r="K40" s="256"/>
      <c r="L40" s="204" t="s">
        <v>826</v>
      </c>
      <c r="M40" s="256"/>
      <c r="N40" s="134"/>
      <c r="Q40" s="98"/>
    </row>
    <row r="41" spans="3:17" ht="8.1" customHeight="1" x14ac:dyDescent="0.25">
      <c r="C41" s="205"/>
      <c r="D41" s="49"/>
      <c r="E41" s="49"/>
      <c r="F41" s="49"/>
      <c r="G41" s="49"/>
      <c r="H41" s="49"/>
      <c r="I41" s="49"/>
      <c r="J41" s="49"/>
      <c r="M41" s="36"/>
      <c r="N41" s="129"/>
      <c r="O41" s="36"/>
      <c r="Q41" s="98"/>
    </row>
    <row r="42" spans="3:17" s="36" customFormat="1" ht="15" customHeight="1" x14ac:dyDescent="0.25">
      <c r="C42" s="79"/>
      <c r="D42" s="204" t="s">
        <v>177</v>
      </c>
      <c r="E42" s="256"/>
      <c r="F42" s="98"/>
      <c r="G42" s="204" t="s">
        <v>512</v>
      </c>
      <c r="H42" s="256"/>
      <c r="J42" s="204" t="s">
        <v>78</v>
      </c>
      <c r="K42" s="256"/>
      <c r="L42" s="201" t="s">
        <v>903</v>
      </c>
      <c r="M42" s="257"/>
      <c r="N42" s="80"/>
      <c r="P42"/>
    </row>
    <row r="43" spans="3:17" ht="7.5" hidden="1" customHeight="1" x14ac:dyDescent="0.25">
      <c r="C43" s="99"/>
      <c r="D43" s="124"/>
      <c r="E43" s="124"/>
      <c r="F43" s="124"/>
      <c r="G43" s="124"/>
      <c r="H43" s="124"/>
      <c r="I43" s="118"/>
      <c r="J43" s="118"/>
      <c r="K43" s="118"/>
      <c r="L43" s="118"/>
      <c r="M43" s="202"/>
      <c r="N43" s="129"/>
      <c r="O43" s="49"/>
      <c r="P43" s="282"/>
      <c r="Q43" s="49"/>
    </row>
    <row r="44" spans="3:17" ht="7.5" hidden="1" customHeight="1" x14ac:dyDescent="0.25">
      <c r="C44" s="99"/>
      <c r="I44" s="36"/>
      <c r="J44" s="36"/>
      <c r="K44" s="36"/>
      <c r="M44" s="49"/>
      <c r="N44" s="129"/>
      <c r="O44" s="49"/>
      <c r="P44" s="282"/>
      <c r="Q44" s="49"/>
    </row>
    <row r="45" spans="3:17" s="36" customFormat="1" ht="15" hidden="1" customHeight="1" x14ac:dyDescent="0.3">
      <c r="C45" s="79"/>
      <c r="D45" s="196" t="s">
        <v>155</v>
      </c>
      <c r="N45" s="129"/>
      <c r="P45"/>
    </row>
    <row r="46" spans="3:17" s="36" customFormat="1" ht="7.5" hidden="1" customHeight="1" x14ac:dyDescent="0.25">
      <c r="C46" s="79"/>
      <c r="N46" s="129"/>
      <c r="P46"/>
    </row>
    <row r="47" spans="3:17" s="36" customFormat="1" ht="81" hidden="1" customHeight="1" x14ac:dyDescent="0.3">
      <c r="C47" s="79"/>
      <c r="D47" s="459" t="s">
        <v>905</v>
      </c>
      <c r="E47" s="465"/>
      <c r="F47" s="465"/>
      <c r="G47" s="465"/>
      <c r="H47" s="465"/>
      <c r="I47" s="465"/>
      <c r="J47" s="465"/>
      <c r="K47" s="465"/>
      <c r="L47" s="465"/>
      <c r="M47" s="465"/>
      <c r="N47" s="80"/>
      <c r="P47"/>
    </row>
    <row r="48" spans="3:17" s="36" customFormat="1" ht="7.5" hidden="1" customHeight="1" x14ac:dyDescent="0.25">
      <c r="C48" s="79"/>
      <c r="N48" s="80"/>
      <c r="P48"/>
    </row>
    <row r="49" spans="3:17" s="36" customFormat="1" ht="15" hidden="1" customHeight="1" x14ac:dyDescent="0.25">
      <c r="C49" s="79"/>
      <c r="D49" s="204" t="s">
        <v>1367</v>
      </c>
      <c r="E49" s="259"/>
      <c r="F49" s="98"/>
      <c r="G49" s="98"/>
      <c r="H49" s="204" t="s">
        <v>156</v>
      </c>
      <c r="I49" s="259"/>
      <c r="J49" s="98"/>
      <c r="L49" s="197" t="s">
        <v>65</v>
      </c>
      <c r="M49" s="428" t="str">
        <f>IF(COUNT(I49, E49)&gt;0,
       SUM(I49, E49), "")</f>
        <v/>
      </c>
      <c r="N49" s="80"/>
      <c r="P49" s="286" t="str">
        <f>IF(COUNT(I49, E49)&gt;0,
       IF(M49&lt;&gt;1, "Total not 100%.", "OK"), "OK")</f>
        <v>OK</v>
      </c>
    </row>
    <row r="50" spans="3:17" s="36" customFormat="1" ht="7.5" hidden="1" customHeight="1" x14ac:dyDescent="0.25">
      <c r="C50" s="79"/>
      <c r="D50" s="206"/>
      <c r="E50" s="206"/>
      <c r="F50" s="206"/>
      <c r="G50" s="206"/>
      <c r="H50" s="206"/>
      <c r="I50" s="206"/>
      <c r="J50" s="206"/>
      <c r="K50" s="206"/>
      <c r="L50" s="206"/>
      <c r="M50" s="206"/>
      <c r="N50" s="80"/>
      <c r="P50"/>
    </row>
    <row r="51" spans="3:17" s="36" customFormat="1" ht="7.5" hidden="1" customHeight="1" x14ac:dyDescent="0.25">
      <c r="C51" s="79"/>
      <c r="N51" s="80"/>
      <c r="P51"/>
    </row>
    <row r="52" spans="3:17" s="36" customFormat="1" ht="15" hidden="1" customHeight="1" x14ac:dyDescent="0.25">
      <c r="C52" s="79"/>
      <c r="D52" s="230" t="s">
        <v>514</v>
      </c>
      <c r="E52" s="231" t="str">
        <f>IF(E49=0, "Please skip this section if your firm has no revenue outside the US.", "Should sum to 100%!")</f>
        <v>Please skip this section if your firm has no revenue outside the US.</v>
      </c>
      <c r="L52" s="207" t="s">
        <v>65</v>
      </c>
      <c r="M52" s="208" t="str">
        <f>IF(COUNT(E54, E57,E64,H54, H57, H64, H73)&gt;0,
       SUM(E54, E57,E64,H54, H57, H64, H73), "")</f>
        <v/>
      </c>
      <c r="N52" s="80"/>
      <c r="P52"/>
    </row>
    <row r="53" spans="3:17" s="36" customFormat="1" ht="7.5" hidden="1" customHeight="1" x14ac:dyDescent="0.25">
      <c r="C53" s="79"/>
      <c r="E53" s="49"/>
      <c r="F53" s="49"/>
      <c r="N53" s="80"/>
      <c r="P53"/>
    </row>
    <row r="54" spans="3:17" s="36" customFormat="1" ht="15" hidden="1" customHeight="1" x14ac:dyDescent="0.25">
      <c r="C54" s="79"/>
      <c r="D54" s="81" t="s">
        <v>528</v>
      </c>
      <c r="E54" s="258"/>
      <c r="G54" s="81" t="s">
        <v>531</v>
      </c>
      <c r="H54" s="258"/>
      <c r="N54" s="80"/>
      <c r="P54" s="286" t="str">
        <f>IF(COUNT(E54, E57, E64, H54, H57, H64, H73)&gt;0,
       IF(M52&lt;&gt;1, "Total not 100%.", "OK"), "OK")</f>
        <v>OK</v>
      </c>
    </row>
    <row r="55" spans="3:17" ht="7.5" hidden="1" customHeight="1" x14ac:dyDescent="0.25">
      <c r="C55" s="79"/>
      <c r="D55" s="232"/>
      <c r="E55" s="232"/>
      <c r="F55" s="233"/>
      <c r="G55" s="233"/>
      <c r="H55" s="233"/>
      <c r="J55" s="49"/>
      <c r="M55" s="36"/>
      <c r="N55" s="80"/>
      <c r="O55" s="36"/>
      <c r="P55" s="282"/>
    </row>
    <row r="56" spans="3:17" ht="7.5" hidden="1" customHeight="1" x14ac:dyDescent="0.25">
      <c r="C56" s="79"/>
      <c r="D56" s="36"/>
      <c r="E56" s="36"/>
      <c r="J56" s="49"/>
      <c r="M56" s="36"/>
      <c r="N56" s="80"/>
      <c r="O56" s="36"/>
      <c r="P56" s="282"/>
    </row>
    <row r="57" spans="3:17" ht="15" hidden="1" customHeight="1" x14ac:dyDescent="0.25">
      <c r="C57" s="79"/>
      <c r="D57" s="81" t="s">
        <v>529</v>
      </c>
      <c r="E57" s="208" t="str">
        <f>IF(COUNT(E59,E61)&gt;0,
             SUM(E59,E61), "")</f>
        <v/>
      </c>
      <c r="G57" s="81" t="s">
        <v>532</v>
      </c>
      <c r="H57" s="208" t="str">
        <f>IF(COUNT(H59,H61)&gt;0,
             SUM(H59,H61), "")</f>
        <v/>
      </c>
      <c r="M57" s="36"/>
      <c r="N57" s="80"/>
      <c r="O57" s="36"/>
      <c r="P57" s="286" t="str">
        <f>IF(COUNT(E59, E61)&gt;0, IF(SUM(E59, E61)=E57, "OK", "Total for Americas not = to sum of breakout."), "OK")</f>
        <v>OK</v>
      </c>
    </row>
    <row r="58" spans="3:17" ht="5.0999999999999996" hidden="1" customHeight="1" x14ac:dyDescent="0.25">
      <c r="C58" s="79"/>
      <c r="D58" s="36"/>
      <c r="E58" s="97"/>
      <c r="G58" s="49"/>
      <c r="H58" s="49"/>
      <c r="J58" s="49"/>
      <c r="K58" s="49"/>
      <c r="L58" s="49"/>
      <c r="M58" s="36"/>
      <c r="N58" s="80"/>
      <c r="O58" s="36"/>
      <c r="P58" s="282"/>
      <c r="Q58" s="98"/>
    </row>
    <row r="59" spans="3:17" ht="15" hidden="1" customHeight="1" x14ac:dyDescent="0.25">
      <c r="C59" s="79"/>
      <c r="D59" s="209" t="s">
        <v>161</v>
      </c>
      <c r="E59" s="258"/>
      <c r="G59" s="209" t="s">
        <v>166</v>
      </c>
      <c r="H59" s="258"/>
      <c r="K59" s="49"/>
      <c r="L59" s="49"/>
      <c r="M59" s="36"/>
      <c r="N59" s="80"/>
      <c r="O59" s="36"/>
      <c r="P59" s="286" t="str">
        <f>IF(COUNT(H59, H61)&gt;0, IF(SUM(H59, H61)=H57, "OK", "Total for Africa not = to sum of breakout."), "OK")</f>
        <v>OK</v>
      </c>
      <c r="Q59" s="98"/>
    </row>
    <row r="60" spans="3:17" ht="5.0999999999999996" hidden="1" customHeight="1" x14ac:dyDescent="0.25">
      <c r="C60" s="79"/>
      <c r="D60" s="97"/>
      <c r="E60" s="49"/>
      <c r="G60" s="210"/>
      <c r="H60" s="49"/>
      <c r="J60" s="49"/>
      <c r="K60" s="49"/>
      <c r="L60" s="49"/>
      <c r="M60" s="36"/>
      <c r="N60" s="80"/>
      <c r="O60" s="36"/>
      <c r="P60" s="282"/>
      <c r="Q60" s="98"/>
    </row>
    <row r="61" spans="3:17" ht="15" hidden="1" customHeight="1" x14ac:dyDescent="0.25">
      <c r="C61" s="79"/>
      <c r="D61" s="209" t="s">
        <v>162</v>
      </c>
      <c r="E61" s="258"/>
      <c r="G61" s="209" t="s">
        <v>167</v>
      </c>
      <c r="H61" s="258"/>
      <c r="K61" s="49"/>
      <c r="L61" s="49"/>
      <c r="M61" s="36"/>
      <c r="N61" s="80"/>
      <c r="O61" s="36"/>
      <c r="Q61" s="98"/>
    </row>
    <row r="62" spans="3:17" ht="7.5" hidden="1" customHeight="1" x14ac:dyDescent="0.25">
      <c r="C62" s="79"/>
      <c r="D62" s="232"/>
      <c r="E62" s="234"/>
      <c r="F62" s="234"/>
      <c r="G62" s="234"/>
      <c r="H62" s="234"/>
      <c r="K62" s="49"/>
      <c r="L62" s="49"/>
      <c r="M62" s="36"/>
      <c r="N62" s="80"/>
      <c r="O62" s="36"/>
      <c r="P62" s="282"/>
      <c r="Q62" s="98"/>
    </row>
    <row r="63" spans="3:17" ht="7.5" hidden="1" customHeight="1" x14ac:dyDescent="0.25">
      <c r="C63" s="79"/>
      <c r="D63" s="36"/>
      <c r="E63" s="49"/>
      <c r="F63" s="49"/>
      <c r="G63" s="49"/>
      <c r="H63" s="49"/>
      <c r="K63" s="49"/>
      <c r="L63" s="49"/>
      <c r="M63" s="36"/>
      <c r="N63" s="80"/>
      <c r="O63" s="36"/>
      <c r="P63" s="282"/>
      <c r="Q63" s="98"/>
    </row>
    <row r="64" spans="3:17" ht="15" hidden="1" customHeight="1" x14ac:dyDescent="0.25">
      <c r="C64" s="79"/>
      <c r="D64" s="81" t="s">
        <v>530</v>
      </c>
      <c r="E64" s="208" t="str">
        <f>IF(COUNT(E66,E68, E70)&gt;0,
             SUM(E66,E68,E70), "")</f>
        <v/>
      </c>
      <c r="G64" s="81" t="s">
        <v>533</v>
      </c>
      <c r="H64" s="208" t="str">
        <f>IF(COUNT(H66,H68, H70)&gt;0,
             SUM(H66,H68,H70), "")</f>
        <v/>
      </c>
      <c r="M64" s="36"/>
      <c r="N64" s="80"/>
      <c r="O64" s="36"/>
      <c r="P64" s="286" t="str">
        <f>IF(COUNT(E66, E68, E70)&gt;0, IF(SUM(E66, E68, E70)=E64, "OK", "Total for Europe not = to sum of breakout."), "OK")</f>
        <v>OK</v>
      </c>
      <c r="Q64" s="98"/>
    </row>
    <row r="65" spans="3:17" ht="5.0999999999999996" hidden="1" customHeight="1" x14ac:dyDescent="0.25">
      <c r="C65" s="79"/>
      <c r="D65" s="49"/>
      <c r="E65" s="49"/>
      <c r="G65" s="49"/>
      <c r="H65" s="49"/>
      <c r="J65" s="36"/>
      <c r="K65" s="36"/>
      <c r="M65" s="36"/>
      <c r="N65" s="80"/>
      <c r="O65" s="36"/>
      <c r="P65" s="282"/>
      <c r="Q65" s="98"/>
    </row>
    <row r="66" spans="3:17" ht="15" hidden="1" customHeight="1" x14ac:dyDescent="0.25">
      <c r="C66" s="79"/>
      <c r="D66" s="209" t="s">
        <v>163</v>
      </c>
      <c r="E66" s="258"/>
      <c r="G66" s="209" t="s">
        <v>168</v>
      </c>
      <c r="H66" s="258"/>
      <c r="K66" s="36"/>
      <c r="M66" s="36"/>
      <c r="N66" s="80"/>
      <c r="O66" s="36"/>
      <c r="P66" s="286" t="str">
        <f>IF(COUNT(H66, H68, H70)&gt;0, IF(SUM(H66, H68, H70)=H64, "OK", "Total for South/East Asia not = to sum of breakout."), "OK")</f>
        <v>OK</v>
      </c>
      <c r="Q66" s="98"/>
    </row>
    <row r="67" spans="3:17" ht="5.0999999999999996" hidden="1" customHeight="1" x14ac:dyDescent="0.25">
      <c r="C67" s="79"/>
      <c r="E67" s="97"/>
      <c r="G67" s="210"/>
      <c r="H67" s="49"/>
      <c r="J67" s="49"/>
      <c r="K67" s="36"/>
      <c r="M67" s="36"/>
      <c r="N67" s="80"/>
      <c r="O67" s="36"/>
      <c r="P67" s="286"/>
      <c r="Q67" s="98"/>
    </row>
    <row r="68" spans="3:17" ht="15" hidden="1" customHeight="1" x14ac:dyDescent="0.25">
      <c r="C68" s="79"/>
      <c r="D68" s="209" t="s">
        <v>164</v>
      </c>
      <c r="E68" s="258"/>
      <c r="G68" s="209" t="s">
        <v>169</v>
      </c>
      <c r="H68" s="258"/>
      <c r="J68" s="49"/>
      <c r="K68" s="36"/>
      <c r="M68" s="36"/>
      <c r="N68" s="80"/>
      <c r="O68" s="36"/>
      <c r="Q68" s="98"/>
    </row>
    <row r="69" spans="3:17" ht="5.0999999999999996" hidden="1" customHeight="1" x14ac:dyDescent="0.25">
      <c r="C69" s="79"/>
      <c r="E69" s="97"/>
      <c r="G69" s="49"/>
      <c r="H69" s="49"/>
      <c r="J69" s="49"/>
      <c r="K69" s="36"/>
      <c r="M69" s="36"/>
      <c r="N69" s="80"/>
      <c r="O69" s="36"/>
      <c r="P69" s="282"/>
      <c r="Q69" s="98"/>
    </row>
    <row r="70" spans="3:17" ht="15" hidden="1" customHeight="1" x14ac:dyDescent="0.25">
      <c r="C70" s="79"/>
      <c r="D70" s="209" t="s">
        <v>165</v>
      </c>
      <c r="E70" s="258"/>
      <c r="G70" s="209" t="s">
        <v>534</v>
      </c>
      <c r="H70" s="258"/>
      <c r="J70" s="49"/>
      <c r="K70" s="36"/>
      <c r="M70" s="36"/>
      <c r="N70" s="80"/>
      <c r="O70" s="36"/>
      <c r="P70" s="282"/>
      <c r="Q70" s="98"/>
    </row>
    <row r="71" spans="3:17" ht="7.5" hidden="1" customHeight="1" x14ac:dyDescent="0.25">
      <c r="C71" s="79"/>
      <c r="D71" s="235"/>
      <c r="E71" s="236"/>
      <c r="F71" s="233"/>
      <c r="G71" s="235"/>
      <c r="H71" s="236"/>
      <c r="J71" s="49"/>
      <c r="K71" s="36"/>
      <c r="M71" s="36"/>
      <c r="N71" s="80"/>
      <c r="O71" s="36"/>
      <c r="P71" s="282"/>
      <c r="Q71" s="98"/>
    </row>
    <row r="72" spans="3:17" ht="7.5" hidden="1" customHeight="1" x14ac:dyDescent="0.25">
      <c r="C72" s="79"/>
      <c r="D72" s="209"/>
      <c r="E72" s="211"/>
      <c r="G72" s="209"/>
      <c r="H72" s="211"/>
      <c r="J72" s="49"/>
      <c r="K72" s="36"/>
      <c r="M72" s="36"/>
      <c r="N72" s="80"/>
      <c r="O72" s="36"/>
      <c r="P72" s="282"/>
      <c r="Q72" s="98"/>
    </row>
    <row r="73" spans="3:17" ht="15" hidden="1" customHeight="1" x14ac:dyDescent="0.25">
      <c r="C73" s="79"/>
      <c r="D73" s="209"/>
      <c r="E73" s="211"/>
      <c r="G73" s="81" t="s">
        <v>535</v>
      </c>
      <c r="H73" s="258"/>
      <c r="J73" s="49"/>
      <c r="K73" s="36"/>
      <c r="M73" s="36"/>
      <c r="N73" s="80"/>
      <c r="O73" s="36"/>
      <c r="P73" s="282"/>
      <c r="Q73" s="98"/>
    </row>
    <row r="74" spans="3:17" ht="7.5" hidden="1" customHeight="1" x14ac:dyDescent="0.25">
      <c r="C74" s="79"/>
      <c r="D74" s="206"/>
      <c r="E74" s="206"/>
      <c r="F74" s="206"/>
      <c r="G74" s="206"/>
      <c r="H74" s="206"/>
      <c r="I74" s="206"/>
      <c r="J74" s="206"/>
      <c r="K74" s="206"/>
      <c r="L74" s="206"/>
      <c r="M74" s="206"/>
      <c r="N74" s="103"/>
      <c r="O74" s="36"/>
      <c r="P74" s="282"/>
      <c r="Q74" s="98"/>
    </row>
    <row r="75" spans="3:17" ht="7.5" hidden="1" customHeight="1" x14ac:dyDescent="0.25">
      <c r="C75" s="79"/>
      <c r="D75" s="36"/>
      <c r="E75" s="36"/>
      <c r="F75" s="36"/>
      <c r="G75" s="36"/>
      <c r="H75" s="36"/>
      <c r="I75" s="36"/>
      <c r="J75" s="36"/>
      <c r="K75" s="36"/>
      <c r="M75" s="36"/>
      <c r="N75" s="80"/>
      <c r="O75" s="36"/>
      <c r="P75" s="282"/>
      <c r="Q75" s="98"/>
    </row>
    <row r="76" spans="3:17" ht="15" hidden="1" customHeight="1" x14ac:dyDescent="0.25">
      <c r="C76" s="79"/>
      <c r="D76" s="230" t="s">
        <v>513</v>
      </c>
      <c r="E76" s="231" t="str">
        <f>IF(I49=0, "Please skip this section if your firm has no revenue in the US.", "Should sum to 100%!")</f>
        <v>Please skip this section if your firm has no revenue in the US.</v>
      </c>
      <c r="L76" s="212" t="s">
        <v>65</v>
      </c>
      <c r="M76" s="208" t="str">
        <f>IF(COUNT(E78, G78, I78, E81, G81, I81, E88, G88, I88, I95)&gt;0,
       SUM(E78, G78, I78, E81, G81, I81, E88, G88, I88, I95), "")</f>
        <v/>
      </c>
      <c r="N76" s="134"/>
      <c r="P76" s="286" t="str">
        <f>IF(COUNT(E78, G78, I78, E81, G81, I81, E88, G88, I88, I95)&gt;0,
       IF(M76&lt;&gt;1, "Total not 100%.", "OK"), "OK")</f>
        <v>OK</v>
      </c>
      <c r="Q76" s="98"/>
    </row>
    <row r="77" spans="3:17" ht="15" hidden="1" customHeight="1" x14ac:dyDescent="0.25">
      <c r="C77" s="79"/>
      <c r="N77" s="134"/>
      <c r="Q77" s="98"/>
    </row>
    <row r="78" spans="3:17" ht="15" hidden="1" customHeight="1" x14ac:dyDescent="0.25">
      <c r="C78" s="79"/>
      <c r="D78" s="81" t="s">
        <v>515</v>
      </c>
      <c r="E78" s="258"/>
      <c r="F78" s="81" t="s">
        <v>516</v>
      </c>
      <c r="G78" s="258"/>
      <c r="H78" s="81" t="s">
        <v>517</v>
      </c>
      <c r="I78" s="258"/>
      <c r="N78" s="134"/>
      <c r="Q78" s="98"/>
    </row>
    <row r="79" spans="3:17" ht="7.5" hidden="1" customHeight="1" x14ac:dyDescent="0.25">
      <c r="C79" s="79"/>
      <c r="D79" s="233"/>
      <c r="E79" s="233"/>
      <c r="F79" s="233"/>
      <c r="G79" s="233"/>
      <c r="H79" s="233"/>
      <c r="I79" s="233"/>
      <c r="N79" s="134"/>
      <c r="Q79" s="98"/>
    </row>
    <row r="80" spans="3:17" ht="7.5" hidden="1" customHeight="1" x14ac:dyDescent="0.25">
      <c r="C80" s="79"/>
      <c r="N80" s="134"/>
      <c r="Q80" s="98"/>
    </row>
    <row r="81" spans="2:17" ht="15" hidden="1" customHeight="1" x14ac:dyDescent="0.25">
      <c r="C81" s="79"/>
      <c r="D81" s="81" t="s">
        <v>518</v>
      </c>
      <c r="E81" s="213" t="str">
        <f>IF(COUNT(E83,E85)&gt;0,
             SUM(E83,E85), "")</f>
        <v/>
      </c>
      <c r="F81" s="81" t="s">
        <v>520</v>
      </c>
      <c r="G81" s="258"/>
      <c r="H81" s="81" t="s">
        <v>521</v>
      </c>
      <c r="I81" s="213" t="str">
        <f>IF(COUNT(I83,I85)&gt;0,
             SUM(I83,I85), "")</f>
        <v/>
      </c>
      <c r="N81" s="134"/>
      <c r="P81" s="286" t="str">
        <f>IF(AND(E76&lt;&gt;"Please skip this section.", COUNT(E83, E85)&gt;0), IF(SUM(E83, E85)=E81, "OK", "Total for Southeast not = to sum of breakout."), "OK")</f>
        <v>OK</v>
      </c>
      <c r="Q81" s="98"/>
    </row>
    <row r="82" spans="2:17" ht="5.0999999999999996" hidden="1" customHeight="1" x14ac:dyDescent="0.25">
      <c r="C82" s="79"/>
      <c r="D82" s="36"/>
      <c r="E82" s="36"/>
      <c r="F82" s="36"/>
      <c r="H82" s="36"/>
      <c r="I82" s="36"/>
      <c r="J82" s="36"/>
      <c r="K82" s="36"/>
      <c r="N82" s="103"/>
      <c r="O82" s="36"/>
      <c r="P82"/>
      <c r="Q82" s="36"/>
    </row>
    <row r="83" spans="2:17" ht="15" hidden="1" customHeight="1" x14ac:dyDescent="0.25">
      <c r="C83" s="79"/>
      <c r="D83" s="214" t="s">
        <v>157</v>
      </c>
      <c r="E83" s="258"/>
      <c r="F83" s="36"/>
      <c r="H83" s="214" t="s">
        <v>158</v>
      </c>
      <c r="I83" s="258"/>
      <c r="J83" s="36"/>
      <c r="K83" s="36"/>
      <c r="M83" s="36"/>
      <c r="N83" s="80"/>
      <c r="O83" s="36"/>
      <c r="P83" s="286" t="str">
        <f>IF(AND(E76&lt;&gt;"Please skip this section.", COUNT(I83, I85)&gt;0), IF(SUM(I83, I85)=I81, "OK", "Total for South/Gulf Coast not = to sum of breakout."), "OK")</f>
        <v>OK</v>
      </c>
      <c r="Q83" s="36"/>
    </row>
    <row r="84" spans="2:17" ht="5.0999999999999996" hidden="1" customHeight="1" x14ac:dyDescent="0.25">
      <c r="C84" s="79"/>
      <c r="D84" s="36"/>
      <c r="E84" s="36"/>
      <c r="F84" s="36"/>
      <c r="H84" s="81"/>
      <c r="I84" s="36"/>
      <c r="N84" s="103"/>
      <c r="O84" s="36"/>
      <c r="P84"/>
      <c r="Q84" s="36"/>
    </row>
    <row r="85" spans="2:17" ht="15" hidden="1" customHeight="1" x14ac:dyDescent="0.25">
      <c r="C85" s="79"/>
      <c r="D85" s="214" t="s">
        <v>519</v>
      </c>
      <c r="E85" s="258"/>
      <c r="F85" s="36"/>
      <c r="H85" s="214" t="s">
        <v>522</v>
      </c>
      <c r="I85" s="258"/>
      <c r="J85" s="49"/>
      <c r="K85" s="49"/>
      <c r="L85" s="49"/>
      <c r="N85" s="103"/>
      <c r="O85" s="36"/>
      <c r="P85"/>
      <c r="Q85" s="36"/>
    </row>
    <row r="86" spans="2:17" ht="7.5" hidden="1" customHeight="1" x14ac:dyDescent="0.25">
      <c r="C86" s="79"/>
      <c r="D86" s="233"/>
      <c r="E86" s="233"/>
      <c r="F86" s="232"/>
      <c r="G86" s="233"/>
      <c r="H86" s="233"/>
      <c r="I86" s="234"/>
      <c r="J86" s="49"/>
      <c r="K86" s="49"/>
      <c r="L86" s="49"/>
      <c r="N86" s="103"/>
      <c r="O86" s="36"/>
      <c r="P86"/>
      <c r="Q86" s="36"/>
    </row>
    <row r="87" spans="2:17" ht="7.5" hidden="1" customHeight="1" x14ac:dyDescent="0.25">
      <c r="C87" s="79"/>
      <c r="F87" s="36"/>
      <c r="I87" s="49"/>
      <c r="J87" s="49"/>
      <c r="K87" s="49"/>
      <c r="L87" s="49"/>
      <c r="N87" s="103"/>
      <c r="O87" s="36"/>
      <c r="P87"/>
      <c r="Q87" s="36"/>
    </row>
    <row r="88" spans="2:17" ht="15" hidden="1" customHeight="1" x14ac:dyDescent="0.25">
      <c r="C88" s="79"/>
      <c r="D88" s="81" t="s">
        <v>523</v>
      </c>
      <c r="E88" s="258"/>
      <c r="F88" s="81" t="s">
        <v>524</v>
      </c>
      <c r="G88" s="258"/>
      <c r="H88" s="81" t="s">
        <v>526</v>
      </c>
      <c r="I88" s="213" t="str">
        <f>IF(COUNT(I90,I92)&gt;0,
             SUM(I90,I92), "")</f>
        <v/>
      </c>
      <c r="J88" s="49"/>
      <c r="K88" s="49"/>
      <c r="L88" s="49"/>
      <c r="N88" s="103"/>
      <c r="O88" s="36"/>
      <c r="P88" s="286" t="str">
        <f>IF(AND(E76&lt;&gt;"Please skip this section.", COUNT(I90, I92)&gt;0), IF(SUM(I90, I92)=I88, "OK", "Total for Southwest not = to sum of breakout."), "OK")</f>
        <v>OK</v>
      </c>
      <c r="Q88" s="36"/>
    </row>
    <row r="89" spans="2:17" ht="5.0999999999999996" hidden="1" customHeight="1" x14ac:dyDescent="0.25">
      <c r="C89" s="79"/>
      <c r="F89" s="36"/>
      <c r="H89" s="81"/>
      <c r="I89" s="36"/>
      <c r="J89" s="49"/>
      <c r="K89" s="49"/>
      <c r="L89" s="49"/>
      <c r="N89" s="103"/>
      <c r="O89" s="36"/>
      <c r="P89"/>
      <c r="Q89" s="36"/>
    </row>
    <row r="90" spans="2:17" ht="15" hidden="1" customHeight="1" x14ac:dyDescent="0.25">
      <c r="C90" s="79"/>
      <c r="F90" s="36"/>
      <c r="H90" s="209" t="s">
        <v>159</v>
      </c>
      <c r="I90" s="258"/>
      <c r="J90" s="49"/>
      <c r="K90" s="49"/>
      <c r="L90" s="49"/>
      <c r="M90" s="49"/>
      <c r="N90" s="129"/>
      <c r="O90" s="36"/>
      <c r="P90"/>
      <c r="Q90" s="36"/>
    </row>
    <row r="91" spans="2:17" s="36" customFormat="1" ht="5.0999999999999996" hidden="1" customHeight="1" x14ac:dyDescent="0.25">
      <c r="B91" s="37"/>
      <c r="C91" s="79"/>
      <c r="H91" s="81"/>
      <c r="J91" s="49"/>
      <c r="K91" s="49"/>
      <c r="L91" s="49"/>
      <c r="M91" s="49"/>
      <c r="N91" s="129"/>
      <c r="P91"/>
    </row>
    <row r="92" spans="2:17" s="36" customFormat="1" ht="15" hidden="1" customHeight="1" x14ac:dyDescent="0.25">
      <c r="C92" s="79"/>
      <c r="H92" s="209" t="s">
        <v>525</v>
      </c>
      <c r="I92" s="258"/>
      <c r="N92" s="80"/>
      <c r="P92"/>
    </row>
    <row r="93" spans="2:17" s="36" customFormat="1" ht="7.5" hidden="1" customHeight="1" x14ac:dyDescent="0.25">
      <c r="C93" s="79"/>
      <c r="D93" s="232"/>
      <c r="E93" s="232"/>
      <c r="F93" s="232"/>
      <c r="G93" s="232"/>
      <c r="H93" s="232"/>
      <c r="I93" s="232"/>
      <c r="K93" s="49"/>
      <c r="L93" s="49"/>
      <c r="M93" s="49"/>
      <c r="N93" s="129"/>
      <c r="P93"/>
    </row>
    <row r="94" spans="2:17" s="36" customFormat="1" ht="7.5" hidden="1" customHeight="1" x14ac:dyDescent="0.25">
      <c r="C94" s="79"/>
      <c r="K94" s="49"/>
      <c r="L94" s="49"/>
      <c r="M94" s="49"/>
      <c r="N94" s="129"/>
      <c r="P94"/>
    </row>
    <row r="95" spans="2:17" s="36" customFormat="1" ht="15" hidden="1" customHeight="1" x14ac:dyDescent="0.25">
      <c r="C95" s="79"/>
      <c r="H95" s="81" t="s">
        <v>527</v>
      </c>
      <c r="I95" s="258"/>
      <c r="K95" s="49"/>
      <c r="L95" s="49"/>
      <c r="M95" s="49"/>
      <c r="N95" s="129"/>
      <c r="P95"/>
    </row>
    <row r="96" spans="2:17" s="36" customFormat="1" ht="7.5" customHeight="1" x14ac:dyDescent="0.25">
      <c r="C96" s="148"/>
      <c r="D96" s="118"/>
      <c r="E96" s="118"/>
      <c r="F96" s="118"/>
      <c r="G96" s="118"/>
      <c r="H96" s="118"/>
      <c r="I96" s="118"/>
      <c r="J96" s="118"/>
      <c r="K96" s="202"/>
      <c r="L96" s="202"/>
      <c r="M96" s="202"/>
      <c r="N96" s="215"/>
      <c r="P96"/>
    </row>
    <row r="97" spans="3:16" s="36" customFormat="1" ht="7.5" customHeight="1" x14ac:dyDescent="0.25">
      <c r="K97" s="49"/>
      <c r="L97" s="49"/>
      <c r="M97" s="49"/>
      <c r="N97" s="49"/>
      <c r="P97"/>
    </row>
    <row r="98" spans="3:16" s="36" customFormat="1" ht="7.5" customHeight="1" x14ac:dyDescent="0.35">
      <c r="C98" s="59"/>
      <c r="D98" s="60"/>
      <c r="E98" s="61"/>
      <c r="F98" s="62"/>
      <c r="G98" s="63"/>
      <c r="H98" s="63"/>
      <c r="I98" s="64"/>
      <c r="J98" s="64"/>
      <c r="K98" s="63"/>
      <c r="L98" s="65"/>
      <c r="M98" s="66"/>
      <c r="N98" s="67"/>
      <c r="P98"/>
    </row>
    <row r="99" spans="3:16" s="36" customFormat="1" ht="18.75" customHeight="1" x14ac:dyDescent="0.35">
      <c r="C99" s="68"/>
      <c r="D99" s="69" t="s">
        <v>908</v>
      </c>
      <c r="E99" s="70"/>
      <c r="F99" s="70"/>
      <c r="G99" s="71"/>
      <c r="H99" s="72"/>
      <c r="I99" s="72"/>
      <c r="J99" s="72"/>
      <c r="K99" s="72"/>
      <c r="L99" s="70"/>
      <c r="M99" s="70"/>
      <c r="N99" s="73"/>
      <c r="P99"/>
    </row>
    <row r="100" spans="3:16" s="36" customFormat="1" ht="7.5" customHeight="1" x14ac:dyDescent="0.35">
      <c r="C100" s="74"/>
      <c r="D100" s="58"/>
      <c r="E100" s="58"/>
      <c r="F100" s="58"/>
      <c r="G100" s="55"/>
      <c r="H100" s="75"/>
      <c r="I100" s="75"/>
      <c r="J100" s="75"/>
      <c r="K100" s="75"/>
      <c r="L100" s="58"/>
      <c r="M100" s="58"/>
      <c r="N100" s="76"/>
      <c r="P100"/>
    </row>
    <row r="101" spans="3:16" s="36" customFormat="1" ht="15" customHeight="1" x14ac:dyDescent="0.35">
      <c r="C101" s="74"/>
      <c r="D101" s="84" t="str">
        <f>"# of Clients in " &amp; IF(TRUE,TEXT(2025-1,"0000"),TEXT(2025-1,"0000")) &amp; ":"</f>
        <v># of Clients in 2024:</v>
      </c>
      <c r="F101" s="162"/>
      <c r="N101" s="76"/>
      <c r="P101"/>
    </row>
    <row r="102" spans="3:16" s="36" customFormat="1" ht="7.5" customHeight="1" x14ac:dyDescent="0.35">
      <c r="C102" s="74"/>
      <c r="N102" s="76"/>
      <c r="P102"/>
    </row>
    <row r="103" spans="3:16" s="36" customFormat="1" ht="15" customHeight="1" x14ac:dyDescent="0.35">
      <c r="C103" s="74"/>
      <c r="D103" s="84" t="s">
        <v>897</v>
      </c>
      <c r="I103" s="78" t="s">
        <v>896</v>
      </c>
      <c r="J103" s="111"/>
      <c r="L103" s="78" t="s">
        <v>899</v>
      </c>
      <c r="M103" s="111"/>
      <c r="N103" s="76"/>
      <c r="P103"/>
    </row>
    <row r="104" spans="3:16" s="36" customFormat="1" ht="7.5" customHeight="1" x14ac:dyDescent="0.35">
      <c r="C104" s="74"/>
      <c r="M104"/>
      <c r="N104" s="76"/>
      <c r="P104"/>
    </row>
    <row r="105" spans="3:16" s="36" customFormat="1" ht="15" customHeight="1" x14ac:dyDescent="0.35">
      <c r="C105" s="74"/>
      <c r="D105" s="84" t="s">
        <v>898</v>
      </c>
      <c r="I105" s="78" t="s">
        <v>896</v>
      </c>
      <c r="J105" s="111"/>
      <c r="L105" s="78" t="s">
        <v>899</v>
      </c>
      <c r="M105" s="111"/>
      <c r="N105" s="76"/>
      <c r="P105"/>
    </row>
    <row r="106" spans="3:16" s="36" customFormat="1" ht="7.5" hidden="1" customHeight="1" x14ac:dyDescent="0.35">
      <c r="C106" s="74"/>
      <c r="D106" s="84"/>
      <c r="G106" s="78"/>
      <c r="I106" s="78"/>
      <c r="J106" s="324"/>
      <c r="L106" s="78"/>
      <c r="M106"/>
      <c r="N106" s="76"/>
      <c r="P106"/>
    </row>
    <row r="107" spans="3:16" s="36" customFormat="1" ht="15" hidden="1" customHeight="1" x14ac:dyDescent="0.35">
      <c r="C107" s="74"/>
      <c r="D107" s="84" t="s">
        <v>1038</v>
      </c>
      <c r="I107" s="78" t="s">
        <v>896</v>
      </c>
      <c r="J107" s="299"/>
      <c r="L107" s="78" t="s">
        <v>899</v>
      </c>
      <c r="M107" s="299"/>
      <c r="N107" s="76"/>
      <c r="P107"/>
    </row>
    <row r="108" spans="3:16" s="36" customFormat="1" ht="7.5" customHeight="1" x14ac:dyDescent="0.35">
      <c r="C108" s="85"/>
      <c r="D108" s="166"/>
      <c r="E108" s="166"/>
      <c r="F108" s="166"/>
      <c r="G108" s="90"/>
      <c r="H108" s="167"/>
      <c r="I108" s="167"/>
      <c r="J108" s="167"/>
      <c r="K108" s="167"/>
      <c r="L108" s="166"/>
      <c r="M108" s="166"/>
      <c r="N108" s="168"/>
      <c r="P108"/>
    </row>
    <row r="109" spans="3:16" s="36" customFormat="1" ht="7.5" customHeight="1" x14ac:dyDescent="0.25">
      <c r="P109"/>
    </row>
    <row r="110" spans="3:16" s="36" customFormat="1" ht="7.5" customHeight="1" x14ac:dyDescent="0.35">
      <c r="C110" s="59"/>
      <c r="D110" s="60"/>
      <c r="E110" s="61"/>
      <c r="F110" s="62"/>
      <c r="G110" s="63"/>
      <c r="H110" s="63"/>
      <c r="I110" s="64"/>
      <c r="J110" s="64"/>
      <c r="K110" s="63"/>
      <c r="L110" s="65"/>
      <c r="M110" s="66"/>
      <c r="N110" s="67"/>
      <c r="P110"/>
    </row>
    <row r="111" spans="3:16" s="36" customFormat="1" ht="18.75" customHeight="1" x14ac:dyDescent="0.35">
      <c r="C111" s="68"/>
      <c r="D111" s="69" t="s">
        <v>909</v>
      </c>
      <c r="E111" s="70"/>
      <c r="F111" s="70"/>
      <c r="G111" s="71"/>
      <c r="H111" s="72"/>
      <c r="I111" s="72"/>
      <c r="J111" s="72"/>
      <c r="K111" s="72"/>
      <c r="L111" s="70"/>
      <c r="M111" s="70"/>
      <c r="N111" s="73"/>
      <c r="P111"/>
    </row>
    <row r="112" spans="3:16" s="36" customFormat="1" ht="7.5" customHeight="1" x14ac:dyDescent="0.35">
      <c r="C112" s="74"/>
      <c r="D112" s="58"/>
      <c r="E112" s="58"/>
      <c r="F112" s="58"/>
      <c r="G112" s="55"/>
      <c r="H112" s="75"/>
      <c r="I112" s="75"/>
      <c r="J112" s="75"/>
      <c r="K112" s="75"/>
      <c r="L112" s="58"/>
      <c r="M112" s="58"/>
      <c r="N112" s="76"/>
      <c r="P112"/>
    </row>
    <row r="113" spans="3:17" s="36" customFormat="1" ht="15" customHeight="1" x14ac:dyDescent="0.35">
      <c r="C113" s="74"/>
      <c r="D113" s="84" t="str">
        <f>"In "&amp;IF(TRUE,TEXT(2025-1,"0000"),TEXT(2025-1,"0000"))&amp;", what percentage of your total work (by gross revenues) was repeat business?"</f>
        <v>In 2024, what percentage of your total work (by gross revenues) was repeat business?</v>
      </c>
      <c r="E113" s="58"/>
      <c r="F113" s="58"/>
      <c r="G113" s="55"/>
      <c r="H113" s="75"/>
      <c r="I113" s="75"/>
      <c r="J113" s="75"/>
      <c r="K113" s="75"/>
      <c r="L113" s="58"/>
      <c r="M113" s="111"/>
      <c r="N113" s="76"/>
      <c r="P113"/>
    </row>
    <row r="114" spans="3:17" s="36" customFormat="1" ht="7.5" customHeight="1" x14ac:dyDescent="0.35">
      <c r="C114" s="74"/>
      <c r="D114" s="58"/>
      <c r="E114" s="58"/>
      <c r="F114" s="58"/>
      <c r="G114" s="55"/>
      <c r="H114" s="75"/>
      <c r="I114" s="75"/>
      <c r="J114" s="75"/>
      <c r="K114" s="75"/>
      <c r="L114" s="58"/>
      <c r="M114" s="58"/>
      <c r="N114" s="76"/>
      <c r="P114"/>
    </row>
    <row r="115" spans="3:17" s="36" customFormat="1" ht="15" customHeight="1" x14ac:dyDescent="0.35">
      <c r="C115" s="74"/>
      <c r="D115" s="84" t="str">
        <f>"In " &amp; IF(TRUE,TEXT(2025-1,"0000"),TEXT(2025-1,"0000")) &amp; ", what percentage of your total work (by gross revenues) was " &amp; CHAR(34) &amp; "Sole-Sourced" &amp; CHAR(34) &amp; "?"</f>
        <v>In 2024, what percentage of your total work (by gross revenues) was "Sole-Sourced"?</v>
      </c>
      <c r="E115" s="98"/>
      <c r="F115" s="98"/>
      <c r="G115" s="98"/>
      <c r="H115" s="98"/>
      <c r="I115" s="98"/>
      <c r="J115" s="98"/>
      <c r="K115" s="98"/>
      <c r="L115" s="98"/>
      <c r="M115" s="111"/>
      <c r="N115" s="76"/>
      <c r="P115" s="286" t="str">
        <f>IF(AND(NOT(AND(ISNUMBER(M115), M115&gt;0)), M118&gt;0), "MSA/IDIQ questions apply only to firms with " &amp; CHAR(34) &amp; "Sole-Sourced" &amp; CHAR(34) &amp; " revenues only.",
  IF(AND(COUNT(M115, M118)=2, M118&gt;M115), "% MSA should be &lt; % Sole-Sourced (see note)", "OK"))</f>
        <v>OK</v>
      </c>
    </row>
    <row r="116" spans="3:17" s="36" customFormat="1" ht="7.5" customHeight="1" x14ac:dyDescent="0.35">
      <c r="C116" s="74"/>
      <c r="N116" s="76"/>
      <c r="P116"/>
    </row>
    <row r="117" spans="3:17" s="36" customFormat="1" ht="15" customHeight="1" x14ac:dyDescent="0.35">
      <c r="C117" s="74"/>
      <c r="D117" s="106" t="str">
        <f>"In " &amp; IF(TRUE,TEXT(2025-1,"0000"),TEXT(2025-1,"0000")) &amp; ", what percentage of your total work (by gross revenues) was provided through an already-won MSA, an IDIQ, or similar multi-project agreement?"</f>
        <v>In 2024, what percentage of your total work (by gross revenues) was provided through an already-won MSA, an IDIQ, or similar multi-project agreement?</v>
      </c>
      <c r="N117" s="76"/>
      <c r="P117"/>
    </row>
    <row r="118" spans="3:17" s="36" customFormat="1" ht="15" customHeight="1" x14ac:dyDescent="0.35">
      <c r="C118" s="74"/>
      <c r="D118" s="237" t="str">
        <f>IF(NOT(M115&gt;0),
       _xlfn.CONCAT("Please skip this question - for firms with ", CHAR(34), "Sole-Sourced", CHAR(34), "revenues only."),
       IF(OR(ISBLANK(M118), M118&gt;M115), _xlfn.CONCAT("This value should be under ", TEXT(M115, "0%"), ", as these revenues are considered a type of ", CHAR(34), "Sole-Sourced", CHAR(34), " revenues for the purposes of this survey."), ""))</f>
        <v>Please skip this question - for firms with "Sole-Sourced"revenues only.</v>
      </c>
      <c r="M118" s="111"/>
      <c r="N118" s="76"/>
      <c r="P118"/>
    </row>
    <row r="119" spans="3:17" s="36" customFormat="1" ht="7.5" customHeight="1" x14ac:dyDescent="0.35">
      <c r="C119" s="74"/>
      <c r="N119" s="76"/>
      <c r="P119"/>
    </row>
    <row r="120" spans="3:17" s="36" customFormat="1" ht="15" customHeight="1" x14ac:dyDescent="0.35">
      <c r="C120" s="74"/>
      <c r="D120" s="106" t="str">
        <f>"In " &amp; IF(TRUE,TEXT(2025-1,"0000"),TEXT(2025-1,"0000")) &amp; ", how many MSA, IDIQ, or similar multi-project agreements was your firm engaged in?"</f>
        <v>In 2024, how many MSA, IDIQ, or similar multi-project agreements was your firm engaged in?</v>
      </c>
      <c r="L120" s="239"/>
      <c r="M120" s="162"/>
      <c r="N120" s="76"/>
      <c r="P120"/>
    </row>
    <row r="121" spans="3:17" s="36" customFormat="1" ht="7.5" customHeight="1" x14ac:dyDescent="0.35">
      <c r="C121" s="74"/>
      <c r="N121" s="76"/>
      <c r="P121"/>
    </row>
    <row r="122" spans="3:17" s="36" customFormat="1" ht="15" customHeight="1" x14ac:dyDescent="0.35">
      <c r="C122" s="74"/>
      <c r="D122" s="84" t="s">
        <v>927</v>
      </c>
      <c r="I122" s="78" t="s">
        <v>469</v>
      </c>
      <c r="J122" s="111"/>
      <c r="L122" s="78" t="s">
        <v>470</v>
      </c>
      <c r="M122" s="111"/>
      <c r="N122" s="76"/>
      <c r="P122"/>
    </row>
    <row r="123" spans="3:17" s="36" customFormat="1" ht="7.5" customHeight="1" x14ac:dyDescent="0.35">
      <c r="C123" s="85"/>
      <c r="D123" s="166"/>
      <c r="E123" s="166"/>
      <c r="F123" s="166"/>
      <c r="G123" s="90"/>
      <c r="H123" s="167"/>
      <c r="I123" s="167"/>
      <c r="J123" s="167"/>
      <c r="K123" s="167"/>
      <c r="L123" s="166"/>
      <c r="M123" s="166"/>
      <c r="N123" s="168"/>
      <c r="P123"/>
    </row>
    <row r="124" spans="3:17" s="36" customFormat="1" ht="7.5" customHeight="1" x14ac:dyDescent="0.35">
      <c r="C124" s="50"/>
      <c r="D124" s="58"/>
      <c r="E124" s="58"/>
      <c r="F124" s="58"/>
      <c r="G124" s="55"/>
      <c r="H124" s="75"/>
      <c r="I124" s="75"/>
      <c r="J124" s="75"/>
      <c r="K124" s="75"/>
      <c r="L124" s="58"/>
      <c r="M124" s="58"/>
      <c r="N124" s="58"/>
      <c r="P124"/>
    </row>
    <row r="125" spans="3:17" s="36" customFormat="1" ht="7.5" customHeight="1" x14ac:dyDescent="0.35">
      <c r="C125" s="59"/>
      <c r="D125" s="60"/>
      <c r="E125" s="61"/>
      <c r="F125" s="62"/>
      <c r="G125" s="63"/>
      <c r="H125" s="63"/>
      <c r="I125" s="64"/>
      <c r="J125" s="64"/>
      <c r="K125" s="63"/>
      <c r="L125" s="65"/>
      <c r="M125" s="66"/>
      <c r="N125" s="67"/>
      <c r="O125" s="58"/>
      <c r="P125" s="282"/>
      <c r="Q125" s="58"/>
    </row>
    <row r="126" spans="3:17" s="36" customFormat="1" ht="18.75" customHeight="1" x14ac:dyDescent="0.35">
      <c r="C126" s="68"/>
      <c r="D126" s="69" t="s">
        <v>1295</v>
      </c>
      <c r="E126" s="70"/>
      <c r="F126" s="70"/>
      <c r="G126" s="71"/>
      <c r="H126" s="72"/>
      <c r="I126" s="72"/>
      <c r="J126" s="72"/>
      <c r="K126" s="72"/>
      <c r="L126" s="70"/>
      <c r="M126" s="70"/>
      <c r="N126" s="73"/>
      <c r="O126" s="58"/>
      <c r="P126" s="282"/>
      <c r="Q126" s="58"/>
    </row>
    <row r="127" spans="3:17" s="36" customFormat="1" ht="7.5" customHeight="1" x14ac:dyDescent="0.35">
      <c r="C127" s="74"/>
      <c r="D127" s="58"/>
      <c r="E127" s="58"/>
      <c r="F127" s="58"/>
      <c r="G127" s="55"/>
      <c r="H127" s="75"/>
      <c r="I127" s="75"/>
      <c r="J127" s="75"/>
      <c r="K127" s="75"/>
      <c r="L127" s="58"/>
      <c r="M127" s="58"/>
      <c r="N127" s="76"/>
      <c r="O127" s="58"/>
      <c r="P127" s="282"/>
      <c r="Q127" s="58"/>
    </row>
    <row r="128" spans="3:17" s="36" customFormat="1" ht="15" customHeight="1" x14ac:dyDescent="0.3">
      <c r="C128" s="79"/>
      <c r="D128" s="84" t="s">
        <v>468</v>
      </c>
      <c r="J128" s="261"/>
      <c r="K128" s="114"/>
      <c r="L128" s="98"/>
      <c r="N128" s="80"/>
      <c r="P128" s="286" t="str">
        <f>IF(J128&lt;&gt;"Yes",
       IF(OR(J130&gt;0, J132&gt;0, M130&gt;0, M132&gt;0), "Please select YES if entering values below, or clear values.", "OK"), "OK")</f>
        <v>OK</v>
      </c>
    </row>
    <row r="129" spans="3:17" s="36" customFormat="1" ht="7.5" customHeight="1" x14ac:dyDescent="0.25">
      <c r="C129" s="79"/>
      <c r="N129" s="80"/>
      <c r="P129"/>
      <c r="Q129" s="49"/>
    </row>
    <row r="130" spans="3:17" s="36" customFormat="1" ht="15" customHeight="1" x14ac:dyDescent="0.3">
      <c r="C130" s="79"/>
      <c r="D130" s="106" t="str">
        <f>"In " &amp; IF(TRUE,TEXT(2025-1,"0000"),TEXT(2025-1,"0000")) &amp; ", what percentage of your gross revenues came from:"</f>
        <v>In 2024, what percentage of your gross revenues came from:</v>
      </c>
      <c r="I130" s="183" t="s">
        <v>472</v>
      </c>
      <c r="J130" s="111"/>
      <c r="L130" s="183" t="s">
        <v>473</v>
      </c>
      <c r="M130" s="111"/>
      <c r="N130" s="80"/>
      <c r="P130"/>
      <c r="Q130" s="147"/>
    </row>
    <row r="131" spans="3:17" s="36" customFormat="1" ht="7.5" customHeight="1" x14ac:dyDescent="0.25">
      <c r="C131" s="79"/>
      <c r="N131" s="80"/>
      <c r="P131"/>
      <c r="Q131" s="49"/>
    </row>
    <row r="132" spans="3:17" s="36" customFormat="1" ht="15" customHeight="1" x14ac:dyDescent="0.3">
      <c r="C132" s="79"/>
      <c r="I132" s="183" t="s">
        <v>738</v>
      </c>
      <c r="J132" s="111"/>
      <c r="L132" s="183" t="s">
        <v>474</v>
      </c>
      <c r="M132" s="111"/>
      <c r="N132" s="80"/>
      <c r="P132"/>
      <c r="Q132" s="49"/>
    </row>
    <row r="133" spans="3:17" s="36" customFormat="1" ht="7.5" hidden="1" customHeight="1" x14ac:dyDescent="0.25">
      <c r="C133" s="79"/>
      <c r="N133" s="80"/>
      <c r="P133"/>
      <c r="Q133" s="49"/>
    </row>
    <row r="134" spans="3:17" s="36" customFormat="1" ht="15" hidden="1" customHeight="1" x14ac:dyDescent="0.3">
      <c r="C134" s="79"/>
      <c r="D134" s="84" t="s">
        <v>593</v>
      </c>
      <c r="J134" s="146"/>
      <c r="K134" s="98"/>
      <c r="M134" s="98"/>
      <c r="N134" s="80"/>
      <c r="P134" s="286" t="str">
        <f>IF(J134&lt;&gt;"Yes",
       IF(OR(J136&gt;0, J138&gt;0, M136&gt;0, M138&gt;0), "Please select YES if entering values below, or clear values.", "OK"), "OK")</f>
        <v>OK</v>
      </c>
    </row>
    <row r="135" spans="3:17" s="36" customFormat="1" ht="7.5" hidden="1" customHeight="1" x14ac:dyDescent="0.25">
      <c r="C135" s="79"/>
      <c r="N135" s="80"/>
      <c r="P135"/>
      <c r="Q135" s="49"/>
    </row>
    <row r="136" spans="3:17" s="36" customFormat="1" ht="15" hidden="1" customHeight="1" x14ac:dyDescent="0.3">
      <c r="C136" s="79"/>
      <c r="D136" s="106" t="str">
        <f>"In " &amp; IF(TRUE,TEXT(2025-1,"0000"),TEXT(2025-1,"0000")) &amp; ", what percentage of your gross revenues came from:"</f>
        <v>In 2024, what percentage of your gross revenues came from:</v>
      </c>
      <c r="I136" s="183" t="s">
        <v>475</v>
      </c>
      <c r="J136" s="111"/>
      <c r="L136" s="183" t="s">
        <v>476</v>
      </c>
      <c r="M136" s="111"/>
      <c r="N136" s="80"/>
      <c r="P136"/>
      <c r="Q136" s="147"/>
    </row>
    <row r="137" spans="3:17" s="36" customFormat="1" ht="7.5" hidden="1" customHeight="1" x14ac:dyDescent="0.25">
      <c r="C137" s="79"/>
      <c r="N137" s="80"/>
      <c r="P137"/>
      <c r="Q137" s="49"/>
    </row>
    <row r="138" spans="3:17" s="36" customFormat="1" ht="15" hidden="1" customHeight="1" x14ac:dyDescent="0.3">
      <c r="C138" s="79"/>
      <c r="I138" s="183" t="s">
        <v>478</v>
      </c>
      <c r="J138" s="111"/>
      <c r="L138" s="183" t="s">
        <v>477</v>
      </c>
      <c r="M138" s="111"/>
      <c r="N138" s="80"/>
      <c r="P138"/>
      <c r="Q138" s="49"/>
    </row>
    <row r="139" spans="3:17" s="36" customFormat="1" ht="7.5" customHeight="1" x14ac:dyDescent="0.35">
      <c r="C139" s="85"/>
      <c r="D139" s="166"/>
      <c r="E139" s="166"/>
      <c r="F139" s="166"/>
      <c r="G139" s="90"/>
      <c r="H139" s="167"/>
      <c r="I139" s="167"/>
      <c r="J139" s="167"/>
      <c r="K139" s="167"/>
      <c r="L139" s="166"/>
      <c r="M139" s="166"/>
      <c r="N139" s="168"/>
      <c r="O139" s="58"/>
      <c r="P139" s="282"/>
      <c r="Q139" s="58"/>
    </row>
    <row r="140" spans="3:17" s="36" customFormat="1" ht="7.5" customHeight="1" x14ac:dyDescent="0.25"/>
    <row r="141" spans="3:17" s="36" customFormat="1" ht="7.5" customHeight="1" x14ac:dyDescent="0.25">
      <c r="C141" s="151"/>
      <c r="D141" s="152"/>
      <c r="E141" s="152"/>
      <c r="F141" s="152"/>
      <c r="G141" s="152"/>
      <c r="H141" s="152"/>
      <c r="I141" s="152"/>
      <c r="J141" s="152"/>
      <c r="K141" s="152"/>
      <c r="L141" s="152"/>
      <c r="M141" s="152"/>
      <c r="N141" s="153"/>
    </row>
    <row r="142" spans="3:17" s="36" customFormat="1" ht="18.75" customHeight="1" x14ac:dyDescent="0.35">
      <c r="C142" s="79"/>
      <c r="D142" s="69" t="s">
        <v>1599</v>
      </c>
      <c r="N142" s="80"/>
    </row>
    <row r="143" spans="3:17" s="36" customFormat="1" ht="7.5" customHeight="1" x14ac:dyDescent="0.25">
      <c r="C143" s="79"/>
      <c r="N143" s="80"/>
    </row>
    <row r="144" spans="3:17" s="36" customFormat="1" ht="15" customHeight="1" x14ac:dyDescent="0.3">
      <c r="C144" s="79"/>
      <c r="D144" s="84" t="s">
        <v>1315</v>
      </c>
      <c r="J144" s="466"/>
      <c r="K144" s="466"/>
      <c r="L144" s="466"/>
      <c r="M144" s="466"/>
      <c r="N144" s="80"/>
    </row>
    <row r="145" spans="3:14" s="36" customFormat="1" ht="7.5" customHeight="1" x14ac:dyDescent="0.25">
      <c r="C145" s="79"/>
      <c r="N145" s="80"/>
    </row>
    <row r="146" spans="3:14" s="36" customFormat="1" ht="15" customHeight="1" x14ac:dyDescent="0.3">
      <c r="C146" s="79"/>
      <c r="D146" s="84" t="s">
        <v>1477</v>
      </c>
      <c r="I146" s="468"/>
      <c r="J146" s="468"/>
      <c r="N146" s="80"/>
    </row>
    <row r="147" spans="3:14" s="36" customFormat="1" ht="7.5" customHeight="1" x14ac:dyDescent="0.25">
      <c r="C147" s="79"/>
      <c r="N147" s="80"/>
    </row>
    <row r="148" spans="3:14" s="36" customFormat="1" ht="15" customHeight="1" x14ac:dyDescent="0.3">
      <c r="C148" s="79"/>
      <c r="D148" s="84" t="s">
        <v>1298</v>
      </c>
      <c r="L148" s="241"/>
      <c r="N148" s="80"/>
    </row>
    <row r="149" spans="3:14" s="36" customFormat="1" ht="7.5" hidden="1" customHeight="1" x14ac:dyDescent="0.25">
      <c r="C149" s="79"/>
      <c r="N149" s="80"/>
    </row>
    <row r="150" spans="3:14" s="36" customFormat="1" ht="15" hidden="1" customHeight="1" x14ac:dyDescent="0.3">
      <c r="C150" s="79"/>
      <c r="D150" s="349" t="s">
        <v>1258</v>
      </c>
      <c r="N150" s="80"/>
    </row>
    <row r="151" spans="3:14" s="36" customFormat="1" ht="7.5" hidden="1" customHeight="1" x14ac:dyDescent="0.3">
      <c r="C151" s="79"/>
      <c r="D151" s="84"/>
      <c r="N151" s="80"/>
    </row>
    <row r="152" spans="3:14" s="36" customFormat="1" ht="15" hidden="1" customHeight="1" x14ac:dyDescent="0.3">
      <c r="C152" s="79"/>
      <c r="D152" s="355" t="s">
        <v>171</v>
      </c>
      <c r="E152" s="467"/>
      <c r="F152" s="467"/>
      <c r="G152" s="305"/>
      <c r="H152" s="355" t="s">
        <v>172</v>
      </c>
      <c r="I152" s="467"/>
      <c r="J152" s="467"/>
      <c r="K152" s="355" t="s">
        <v>173</v>
      </c>
      <c r="L152" s="467"/>
      <c r="M152" s="467"/>
      <c r="N152" s="80"/>
    </row>
    <row r="153" spans="3:14" s="36" customFormat="1" ht="7.5" hidden="1" customHeight="1" x14ac:dyDescent="0.25">
      <c r="C153" s="79"/>
      <c r="E153" s="354"/>
      <c r="F153" s="354"/>
      <c r="H153" s="305"/>
      <c r="N153" s="80"/>
    </row>
    <row r="154" spans="3:14" s="36" customFormat="1" ht="15" hidden="1" customHeight="1" x14ac:dyDescent="0.3">
      <c r="C154" s="79"/>
      <c r="D154" s="355" t="s">
        <v>904</v>
      </c>
      <c r="E154" s="467"/>
      <c r="F154" s="467"/>
      <c r="H154" s="355" t="s">
        <v>174</v>
      </c>
      <c r="I154" s="467"/>
      <c r="J154" s="467"/>
      <c r="N154" s="80"/>
    </row>
    <row r="155" spans="3:14" s="36" customFormat="1" ht="7.5" customHeight="1" x14ac:dyDescent="0.25">
      <c r="C155" s="79"/>
      <c r="N155" s="80"/>
    </row>
    <row r="156" spans="3:14" s="36" customFormat="1" ht="15" customHeight="1" x14ac:dyDescent="0.3">
      <c r="C156" s="79"/>
      <c r="D156" s="84" t="s">
        <v>1475</v>
      </c>
      <c r="G156" s="241"/>
      <c r="N156" s="80"/>
    </row>
    <row r="157" spans="3:14" s="36" customFormat="1" ht="7.5" customHeight="1" x14ac:dyDescent="0.25">
      <c r="C157" s="79"/>
      <c r="N157" s="80"/>
    </row>
    <row r="158" spans="3:14" s="36" customFormat="1" ht="15" customHeight="1" x14ac:dyDescent="0.3">
      <c r="C158" s="79"/>
      <c r="D158" s="84" t="s">
        <v>1476</v>
      </c>
      <c r="H158" s="241"/>
      <c r="N158" s="80"/>
    </row>
    <row r="159" spans="3:14" s="36" customFormat="1" ht="0" hidden="1" customHeight="1" x14ac:dyDescent="0.25"/>
    <row r="160" spans="3:14" s="36" customFormat="1" ht="0" hidden="1" customHeight="1" x14ac:dyDescent="0.25"/>
    <row r="161" s="36" customFormat="1" ht="0" hidden="1" customHeight="1" x14ac:dyDescent="0.25"/>
    <row r="162" s="36" customFormat="1" ht="0" hidden="1" customHeight="1" x14ac:dyDescent="0.25"/>
    <row r="163" s="36" customFormat="1" ht="0" hidden="1" customHeight="1" x14ac:dyDescent="0.25"/>
    <row r="164" s="36" customFormat="1" ht="0" hidden="1" customHeight="1" x14ac:dyDescent="0.25"/>
    <row r="165" s="36" customFormat="1" ht="0" hidden="1" customHeight="1" x14ac:dyDescent="0.25"/>
    <row r="166" s="36" customFormat="1" ht="0" hidden="1" customHeight="1" x14ac:dyDescent="0.25"/>
    <row r="167" s="36" customFormat="1" ht="0" hidden="1" customHeight="1" x14ac:dyDescent="0.25"/>
    <row r="168" s="36" customFormat="1" ht="0" hidden="1" customHeight="1" x14ac:dyDescent="0.25"/>
    <row r="169" s="36" customFormat="1" ht="0" hidden="1" customHeight="1" x14ac:dyDescent="0.25"/>
    <row r="170" s="36" customFormat="1" ht="0" hidden="1" customHeight="1" x14ac:dyDescent="0.25"/>
    <row r="171" s="36" customFormat="1" ht="0" hidden="1" customHeight="1" x14ac:dyDescent="0.25"/>
    <row r="172" s="36" customFormat="1" ht="0" hidden="1" customHeight="1" x14ac:dyDescent="0.25"/>
    <row r="173" s="36" customFormat="1" ht="0" hidden="1" customHeight="1" x14ac:dyDescent="0.25"/>
    <row r="174" s="36" customFormat="1" ht="0" hidden="1" customHeight="1" x14ac:dyDescent="0.25"/>
    <row r="175" s="36" customFormat="1" ht="0" hidden="1" customHeight="1" x14ac:dyDescent="0.25"/>
    <row r="176" s="36" customFormat="1" ht="0" hidden="1" customHeight="1" x14ac:dyDescent="0.25"/>
    <row r="177" spans="3:16" s="36" customFormat="1" ht="7.5" customHeight="1" x14ac:dyDescent="0.25">
      <c r="C177" s="79"/>
      <c r="N177" s="80"/>
    </row>
    <row r="178" spans="3:16" s="36" customFormat="1" ht="15" customHeight="1" x14ac:dyDescent="0.35">
      <c r="C178" s="79"/>
      <c r="D178" s="349" t="s">
        <v>1257</v>
      </c>
      <c r="E178" s="70"/>
      <c r="F178" s="70"/>
      <c r="G178" s="71"/>
      <c r="H178" s="241"/>
      <c r="J178" s="72"/>
      <c r="K178" s="72"/>
      <c r="L178"/>
      <c r="M178"/>
      <c r="N178" s="80"/>
    </row>
    <row r="179" spans="3:16" s="36" customFormat="1" ht="7.5" customHeight="1" x14ac:dyDescent="0.25">
      <c r="C179" s="79"/>
      <c r="N179" s="80"/>
    </row>
    <row r="180" spans="3:16" s="36" customFormat="1" ht="15" customHeight="1" x14ac:dyDescent="0.3">
      <c r="C180" s="79"/>
      <c r="D180" s="353" t="s">
        <v>1483</v>
      </c>
      <c r="N180" s="80"/>
    </row>
    <row r="181" spans="3:16" s="36" customFormat="1" ht="7.5" customHeight="1" x14ac:dyDescent="0.25">
      <c r="C181" s="79"/>
      <c r="N181" s="80"/>
    </row>
    <row r="182" spans="3:16" s="36" customFormat="1" ht="15" customHeight="1" x14ac:dyDescent="0.3">
      <c r="C182" s="79"/>
      <c r="D182" s="358" t="s">
        <v>1484</v>
      </c>
      <c r="G182" s="441"/>
      <c r="I182" s="358" t="s">
        <v>1299</v>
      </c>
      <c r="L182" s="441"/>
      <c r="N182" s="80"/>
    </row>
    <row r="183" spans="3:16" s="36" customFormat="1" ht="7.5" customHeight="1" x14ac:dyDescent="0.25">
      <c r="C183" s="79"/>
      <c r="N183" s="80"/>
    </row>
    <row r="184" spans="3:16" s="36" customFormat="1" ht="15" customHeight="1" x14ac:dyDescent="0.3">
      <c r="C184" s="79"/>
      <c r="D184" s="358" t="s">
        <v>1485</v>
      </c>
      <c r="G184" s="441"/>
      <c r="I184" s="358" t="s">
        <v>1486</v>
      </c>
      <c r="L184" s="441"/>
      <c r="N184" s="80"/>
    </row>
    <row r="185" spans="3:16" s="36" customFormat="1" ht="7.5" customHeight="1" x14ac:dyDescent="0.25">
      <c r="C185" s="79"/>
      <c r="N185" s="80"/>
    </row>
    <row r="186" spans="3:16" s="36" customFormat="1" ht="15" customHeight="1" x14ac:dyDescent="0.3">
      <c r="C186" s="79"/>
      <c r="D186" s="358" t="s">
        <v>78</v>
      </c>
      <c r="G186" s="441"/>
      <c r="I186" s="260" t="s">
        <v>1487</v>
      </c>
      <c r="L186" s="469"/>
      <c r="M186" s="469"/>
      <c r="N186" s="80"/>
    </row>
    <row r="187" spans="3:16" s="36" customFormat="1" ht="7.5" customHeight="1" x14ac:dyDescent="0.25">
      <c r="C187" s="79"/>
      <c r="D187"/>
      <c r="E187"/>
      <c r="F187"/>
      <c r="G187"/>
      <c r="H187"/>
      <c r="I187"/>
      <c r="J187"/>
      <c r="K187"/>
      <c r="L187"/>
      <c r="M187"/>
      <c r="N187" s="129"/>
      <c r="P187"/>
    </row>
    <row r="188" spans="3:16" s="36" customFormat="1" ht="17.45" customHeight="1" x14ac:dyDescent="0.3">
      <c r="C188" s="79"/>
      <c r="D188" s="442" t="s">
        <v>1488</v>
      </c>
      <c r="E188"/>
      <c r="F188"/>
      <c r="G188"/>
      <c r="H188"/>
      <c r="I188"/>
      <c r="J188"/>
      <c r="K188"/>
      <c r="L188"/>
      <c r="M188"/>
      <c r="N188" s="129"/>
      <c r="P188"/>
    </row>
    <row r="189" spans="3:16" s="36" customFormat="1" ht="7.5" customHeight="1" x14ac:dyDescent="0.25">
      <c r="C189" s="79"/>
      <c r="D189"/>
      <c r="E189"/>
      <c r="F189"/>
      <c r="G189"/>
      <c r="H189"/>
      <c r="I189"/>
      <c r="J189"/>
      <c r="K189"/>
      <c r="N189" s="129"/>
      <c r="P189"/>
    </row>
    <row r="190" spans="3:16" s="36" customFormat="1" ht="15" customHeight="1" x14ac:dyDescent="0.3">
      <c r="C190" s="79"/>
      <c r="D190" s="22" t="s">
        <v>1499</v>
      </c>
      <c r="E190"/>
      <c r="F190"/>
      <c r="G190"/>
      <c r="H190"/>
      <c r="I190"/>
      <c r="K190" s="470"/>
      <c r="L190" s="470"/>
      <c r="N190" s="129"/>
      <c r="P190"/>
    </row>
    <row r="191" spans="3:16" s="36" customFormat="1" ht="7.5" customHeight="1" x14ac:dyDescent="0.25">
      <c r="C191" s="79"/>
      <c r="D191"/>
      <c r="E191"/>
      <c r="F191"/>
      <c r="G191"/>
      <c r="H191"/>
      <c r="I191"/>
      <c r="J191"/>
      <c r="K191"/>
      <c r="L191"/>
      <c r="M191"/>
      <c r="N191" s="129"/>
      <c r="P191"/>
    </row>
    <row r="192" spans="3:16" s="36" customFormat="1" ht="15" customHeight="1" x14ac:dyDescent="0.3">
      <c r="C192" s="79"/>
      <c r="D192" s="443" t="s">
        <v>1489</v>
      </c>
      <c r="E192"/>
      <c r="F192"/>
      <c r="G192"/>
      <c r="H192"/>
      <c r="I192"/>
      <c r="J192" s="470"/>
      <c r="K192" s="470"/>
      <c r="L192"/>
      <c r="M192"/>
      <c r="N192" s="129"/>
      <c r="P192"/>
    </row>
    <row r="193" spans="3:16" s="36" customFormat="1" ht="7.5" hidden="1" customHeight="1" x14ac:dyDescent="0.25">
      <c r="C193" s="79"/>
      <c r="D193"/>
      <c r="E193"/>
      <c r="F193"/>
      <c r="G193"/>
      <c r="H193"/>
      <c r="I193"/>
      <c r="J193"/>
      <c r="K193"/>
      <c r="L193"/>
      <c r="M193"/>
      <c r="N193" s="129"/>
      <c r="P193"/>
    </row>
    <row r="194" spans="3:16" s="36" customFormat="1" ht="15" hidden="1" customHeight="1" x14ac:dyDescent="0.3">
      <c r="C194" s="79"/>
      <c r="D194" s="443" t="s">
        <v>1490</v>
      </c>
      <c r="E194"/>
      <c r="F194"/>
      <c r="G194"/>
      <c r="H194"/>
      <c r="I194"/>
      <c r="J194"/>
      <c r="K194"/>
      <c r="L194"/>
      <c r="M194"/>
      <c r="N194" s="129"/>
      <c r="P194"/>
    </row>
    <row r="195" spans="3:16" s="36" customFormat="1" ht="7.5" hidden="1" customHeight="1" x14ac:dyDescent="0.25">
      <c r="C195" s="79"/>
      <c r="D195"/>
      <c r="E195"/>
      <c r="F195"/>
      <c r="G195"/>
      <c r="H195"/>
      <c r="I195"/>
      <c r="J195"/>
      <c r="K195"/>
      <c r="L195"/>
      <c r="M195"/>
      <c r="N195" s="129"/>
      <c r="P195"/>
    </row>
    <row r="196" spans="3:16" s="36" customFormat="1" ht="15" hidden="1" customHeight="1" x14ac:dyDescent="0.3">
      <c r="C196" s="79"/>
      <c r="D196" s="429" t="s">
        <v>1491</v>
      </c>
      <c r="E196" s="23"/>
      <c r="G196" s="261"/>
      <c r="I196" s="429" t="s">
        <v>1492</v>
      </c>
      <c r="L196" s="261"/>
      <c r="M196" s="23"/>
      <c r="N196" s="129"/>
      <c r="P196"/>
    </row>
    <row r="197" spans="3:16" s="36" customFormat="1" ht="7.5" hidden="1" customHeight="1" x14ac:dyDescent="0.3">
      <c r="C197" s="79"/>
      <c r="D197" s="23"/>
      <c r="E197" s="23"/>
      <c r="G197" s="23"/>
      <c r="J197" s="23"/>
      <c r="K197" s="23"/>
      <c r="L197" s="23"/>
      <c r="M197" s="23"/>
      <c r="N197" s="129"/>
      <c r="P197"/>
    </row>
    <row r="198" spans="3:16" s="36" customFormat="1" ht="15" hidden="1" customHeight="1" x14ac:dyDescent="0.3">
      <c r="C198" s="79"/>
      <c r="D198" s="429" t="s">
        <v>1493</v>
      </c>
      <c r="E198" s="23"/>
      <c r="G198" s="261"/>
      <c r="I198" s="429" t="s">
        <v>1494</v>
      </c>
      <c r="L198" s="261"/>
      <c r="M198" s="23"/>
      <c r="N198" s="129"/>
      <c r="P198"/>
    </row>
    <row r="199" spans="3:16" s="36" customFormat="1" ht="7.5" hidden="1" customHeight="1" x14ac:dyDescent="0.25">
      <c r="C199" s="79"/>
      <c r="D199"/>
      <c r="E199"/>
      <c r="F199"/>
      <c r="G199"/>
      <c r="I199"/>
      <c r="J199"/>
      <c r="K199"/>
      <c r="L199"/>
      <c r="M199"/>
      <c r="N199" s="129"/>
      <c r="P199"/>
    </row>
    <row r="200" spans="3:16" s="36" customFormat="1" ht="15" hidden="1" customHeight="1" x14ac:dyDescent="0.3">
      <c r="C200" s="79"/>
      <c r="D200" s="429" t="s">
        <v>1495</v>
      </c>
      <c r="E200"/>
      <c r="F200"/>
      <c r="G200" s="261"/>
      <c r="I200" s="429" t="s">
        <v>1496</v>
      </c>
      <c r="J200"/>
      <c r="K200"/>
      <c r="L200" s="261"/>
      <c r="M200"/>
      <c r="N200" s="129"/>
      <c r="P200"/>
    </row>
    <row r="201" spans="3:16" s="36" customFormat="1" ht="7.5" hidden="1" customHeight="1" x14ac:dyDescent="0.25">
      <c r="C201" s="79"/>
      <c r="D201"/>
      <c r="E201"/>
      <c r="F201"/>
      <c r="G201"/>
      <c r="H201"/>
      <c r="I201"/>
      <c r="J201"/>
      <c r="K201"/>
      <c r="L201"/>
      <c r="M201"/>
      <c r="N201" s="129"/>
      <c r="P201"/>
    </row>
    <row r="202" spans="3:16" s="36" customFormat="1" ht="15" hidden="1" customHeight="1" x14ac:dyDescent="0.3">
      <c r="C202" s="79"/>
      <c r="D202" s="429" t="s">
        <v>1497</v>
      </c>
      <c r="E202"/>
      <c r="F202"/>
      <c r="G202" s="466"/>
      <c r="H202" s="466"/>
      <c r="I202" s="466"/>
      <c r="J202"/>
      <c r="K202"/>
      <c r="L202"/>
      <c r="M202"/>
      <c r="N202" s="129"/>
      <c r="P202"/>
    </row>
    <row r="203" spans="3:16" s="36" customFormat="1" ht="7.5" customHeight="1" x14ac:dyDescent="0.25">
      <c r="C203" s="79"/>
      <c r="N203" s="80"/>
    </row>
    <row r="204" spans="3:16" s="36" customFormat="1" ht="15" hidden="1" customHeight="1" x14ac:dyDescent="0.35">
      <c r="C204" s="79"/>
      <c r="D204" s="349" t="s">
        <v>1351</v>
      </c>
      <c r="E204" s="70"/>
      <c r="F204" s="70"/>
      <c r="G204" s="71"/>
      <c r="I204" s="241"/>
      <c r="J204" s="237" t="str">
        <f>IF('Revenue Details'!I49&lt;&gt;100%, "Please skip -- these questions only for firms doing 100% of their work in the US.", "")</f>
        <v>Please skip -- these questions only for firms doing 100% of their work in the US.</v>
      </c>
      <c r="M204"/>
      <c r="N204" s="80"/>
    </row>
    <row r="205" spans="3:16" s="36" customFormat="1" ht="7.5" hidden="1" customHeight="1" x14ac:dyDescent="0.25">
      <c r="C205" s="79"/>
      <c r="N205" s="80"/>
    </row>
    <row r="206" spans="3:16" s="36" customFormat="1" ht="15" hidden="1" customHeight="1" x14ac:dyDescent="0.3">
      <c r="C206" s="79"/>
      <c r="D206" s="353" t="s">
        <v>1352</v>
      </c>
      <c r="N206" s="80"/>
    </row>
    <row r="207" spans="3:16" s="36" customFormat="1" ht="7.5" hidden="1" customHeight="1" x14ac:dyDescent="0.25">
      <c r="C207" s="79"/>
      <c r="N207" s="80"/>
    </row>
    <row r="208" spans="3:16" s="36" customFormat="1" ht="15" hidden="1" customHeight="1" x14ac:dyDescent="0.3">
      <c r="C208" s="79"/>
      <c r="D208" s="355" t="s">
        <v>1356</v>
      </c>
      <c r="E208" s="261"/>
      <c r="G208" s="355" t="s">
        <v>1358</v>
      </c>
      <c r="H208" s="261"/>
      <c r="I208" s="355" t="s">
        <v>1353</v>
      </c>
      <c r="J208" s="261"/>
      <c r="L208" s="190" t="s">
        <v>1355</v>
      </c>
      <c r="M208" s="261"/>
      <c r="N208" s="80"/>
    </row>
    <row r="209" spans="3:16" s="36" customFormat="1" ht="7.5" hidden="1" customHeight="1" x14ac:dyDescent="0.25">
      <c r="C209" s="79"/>
      <c r="N209" s="80"/>
    </row>
    <row r="210" spans="3:16" s="36" customFormat="1" ht="15" hidden="1" customHeight="1" x14ac:dyDescent="0.3">
      <c r="C210" s="79"/>
      <c r="D210" s="355" t="s">
        <v>1357</v>
      </c>
      <c r="E210" s="261"/>
      <c r="G210" s="355" t="s">
        <v>1359</v>
      </c>
      <c r="H210" s="261"/>
      <c r="I210" s="355" t="s">
        <v>1354</v>
      </c>
      <c r="J210" s="261"/>
      <c r="L210" s="190" t="s">
        <v>1360</v>
      </c>
      <c r="M210" s="261"/>
      <c r="N210" s="80"/>
    </row>
    <row r="211" spans="3:16" s="36" customFormat="1" ht="7.5" hidden="1" customHeight="1" x14ac:dyDescent="0.25">
      <c r="C211" s="79"/>
      <c r="N211" s="80"/>
    </row>
    <row r="212" spans="3:16" s="36" customFormat="1" ht="18.75" customHeight="1" x14ac:dyDescent="0.3">
      <c r="C212" s="79"/>
      <c r="D212" s="442" t="s">
        <v>1479</v>
      </c>
      <c r="N212" s="80"/>
    </row>
    <row r="213" spans="3:16" s="36" customFormat="1" ht="7.5" customHeight="1" x14ac:dyDescent="0.25">
      <c r="C213" s="79"/>
      <c r="N213" s="80"/>
    </row>
    <row r="214" spans="3:16" s="36" customFormat="1" ht="15" customHeight="1" x14ac:dyDescent="0.3">
      <c r="C214" s="79"/>
      <c r="D214" s="84" t="s">
        <v>1598</v>
      </c>
      <c r="I214" s="241"/>
      <c r="N214" s="80"/>
    </row>
    <row r="215" spans="3:16" s="36" customFormat="1" ht="7.5" customHeight="1" x14ac:dyDescent="0.25">
      <c r="C215" s="79"/>
      <c r="N215" s="80"/>
    </row>
    <row r="216" spans="3:16" s="36" customFormat="1" ht="15" customHeight="1" x14ac:dyDescent="0.3">
      <c r="C216" s="79"/>
      <c r="D216" s="84" t="s">
        <v>1480</v>
      </c>
      <c r="J216" s="241"/>
      <c r="N216" s="80"/>
    </row>
    <row r="217" spans="3:16" s="36" customFormat="1" ht="7.5" customHeight="1" x14ac:dyDescent="0.25">
      <c r="C217" s="79"/>
      <c r="N217" s="80"/>
    </row>
    <row r="218" spans="3:16" s="36" customFormat="1" ht="15" customHeight="1" x14ac:dyDescent="0.3">
      <c r="C218" s="79"/>
      <c r="D218" s="84" t="s">
        <v>1481</v>
      </c>
      <c r="J218" s="241"/>
      <c r="N218" s="80"/>
    </row>
    <row r="219" spans="3:16" s="36" customFormat="1" ht="7.5" customHeight="1" x14ac:dyDescent="0.25">
      <c r="C219" s="79"/>
      <c r="N219" s="80"/>
    </row>
    <row r="220" spans="3:16" s="36" customFormat="1" ht="15" customHeight="1" x14ac:dyDescent="0.3">
      <c r="C220" s="79"/>
      <c r="D220" s="84" t="s">
        <v>1482</v>
      </c>
      <c r="G220" s="241"/>
      <c r="N220" s="80"/>
    </row>
    <row r="221" spans="3:16" s="36" customFormat="1" ht="7.5" customHeight="1" x14ac:dyDescent="0.25">
      <c r="C221" s="148"/>
      <c r="D221" s="118"/>
      <c r="E221" s="118"/>
      <c r="F221" s="118"/>
      <c r="G221" s="118"/>
      <c r="H221" s="118"/>
      <c r="I221" s="118"/>
      <c r="J221" s="118"/>
      <c r="K221" s="118"/>
      <c r="L221" s="118"/>
      <c r="M221" s="118"/>
      <c r="N221" s="181"/>
    </row>
    <row r="222" spans="3:16" s="36" customFormat="1" ht="15" customHeight="1" x14ac:dyDescent="0.25">
      <c r="P222"/>
    </row>
    <row r="223" spans="3:16" s="36" customFormat="1" ht="15" hidden="1" customHeight="1" x14ac:dyDescent="0.25">
      <c r="P223"/>
    </row>
    <row r="224" spans="3:16" s="36" customFormat="1" ht="15" hidden="1" customHeight="1" x14ac:dyDescent="0.25">
      <c r="P224"/>
    </row>
    <row r="225" spans="1:16" s="36" customFormat="1" ht="15" hidden="1" customHeight="1" x14ac:dyDescent="0.25">
      <c r="P225"/>
    </row>
    <row r="226" spans="1:16" s="36" customFormat="1" ht="15" hidden="1" customHeight="1" x14ac:dyDescent="0.25">
      <c r="P226"/>
    </row>
    <row r="227" spans="1:16" s="36" customFormat="1" ht="15" hidden="1" customHeight="1" x14ac:dyDescent="0.25">
      <c r="P227"/>
    </row>
    <row r="228" spans="1:16" s="36" customFormat="1" ht="15" hidden="1" customHeight="1" x14ac:dyDescent="0.25">
      <c r="P228"/>
    </row>
    <row r="229" spans="1:16" s="36" customFormat="1" ht="15" hidden="1" customHeight="1" x14ac:dyDescent="0.25">
      <c r="N229" s="49"/>
      <c r="P229"/>
    </row>
    <row r="230" spans="1:16" s="36" customFormat="1" ht="18.600000000000001" hidden="1" customHeight="1" x14ac:dyDescent="0.25">
      <c r="N230" s="49"/>
      <c r="P230"/>
    </row>
    <row r="231" spans="1:16" s="36" customFormat="1" ht="18.600000000000001" hidden="1" customHeight="1" x14ac:dyDescent="0.25">
      <c r="N231" s="49"/>
      <c r="P231"/>
    </row>
    <row r="232" spans="1:16" ht="15" hidden="1" customHeight="1" x14ac:dyDescent="0.25">
      <c r="A232" s="98"/>
      <c r="C232" s="98"/>
    </row>
    <row r="233" spans="1:16" ht="15" hidden="1" customHeight="1" x14ac:dyDescent="0.25">
      <c r="A233" s="98"/>
      <c r="C233" s="98"/>
    </row>
    <row r="234" spans="1:16" ht="15" hidden="1" customHeight="1" x14ac:dyDescent="0.25">
      <c r="A234" s="98"/>
      <c r="C234" s="98"/>
    </row>
    <row r="235" spans="1:16" ht="15" hidden="1" customHeight="1" x14ac:dyDescent="0.25">
      <c r="A235" s="98"/>
    </row>
    <row r="236" spans="1:16" ht="15" hidden="1" customHeight="1" x14ac:dyDescent="0.25">
      <c r="A236" s="98"/>
    </row>
    <row r="237" spans="1:16" ht="15" hidden="1" customHeight="1" x14ac:dyDescent="0.25">
      <c r="A237" s="98"/>
    </row>
    <row r="238" spans="1:16" ht="15" hidden="1" customHeight="1" x14ac:dyDescent="0.25">
      <c r="A238" s="98"/>
    </row>
    <row r="239" spans="1:16" ht="15" hidden="1" customHeight="1" x14ac:dyDescent="0.25">
      <c r="A239" s="98"/>
    </row>
    <row r="240" spans="1:16" ht="15" hidden="1" customHeight="1" x14ac:dyDescent="0.25">
      <c r="A240" s="98"/>
    </row>
    <row r="241" spans="1:17" ht="15" hidden="1" customHeight="1" x14ac:dyDescent="0.25">
      <c r="A241" s="98"/>
    </row>
    <row r="242" spans="1:17" ht="15" hidden="1" customHeight="1" x14ac:dyDescent="0.25">
      <c r="A242" s="98"/>
    </row>
    <row r="243" spans="1:17" ht="15" hidden="1" customHeight="1" x14ac:dyDescent="0.25">
      <c r="A243" s="98"/>
    </row>
    <row r="244" spans="1:17" s="36" customFormat="1" ht="15" hidden="1" customHeight="1" x14ac:dyDescent="0.25">
      <c r="B244" s="98"/>
      <c r="D244" s="98"/>
      <c r="E244" s="98"/>
      <c r="F244" s="98"/>
      <c r="G244" s="98"/>
      <c r="H244" s="98"/>
      <c r="I244" s="98"/>
      <c r="J244" s="98"/>
      <c r="K244" s="98"/>
      <c r="M244" s="98"/>
      <c r="N244" s="98"/>
      <c r="O244" s="98"/>
      <c r="P244" s="44"/>
      <c r="Q244" s="182"/>
    </row>
    <row r="245" spans="1:17" s="36" customFormat="1" ht="15" hidden="1" customHeight="1" x14ac:dyDescent="0.25">
      <c r="B245" s="98"/>
      <c r="D245" s="98"/>
      <c r="E245" s="98"/>
      <c r="F245" s="98"/>
      <c r="G245" s="98"/>
      <c r="H245" s="98"/>
      <c r="I245" s="98"/>
      <c r="J245" s="98"/>
      <c r="K245" s="98"/>
      <c r="M245" s="98"/>
      <c r="N245" s="98"/>
      <c r="O245" s="98"/>
      <c r="P245" s="44"/>
      <c r="Q245" s="182"/>
    </row>
    <row r="246" spans="1:17" s="36" customFormat="1" ht="15" hidden="1" customHeight="1" x14ac:dyDescent="0.25">
      <c r="B246" s="98"/>
      <c r="D246" s="98"/>
      <c r="E246" s="98"/>
      <c r="F246" s="98"/>
      <c r="G246" s="98"/>
      <c r="H246" s="98"/>
      <c r="I246" s="98"/>
      <c r="J246" s="98"/>
      <c r="K246" s="98"/>
      <c r="M246" s="98"/>
      <c r="N246" s="98"/>
      <c r="O246" s="98"/>
      <c r="P246" s="44"/>
      <c r="Q246" s="182"/>
    </row>
    <row r="247" spans="1:17" s="36" customFormat="1" ht="15" hidden="1" customHeight="1" x14ac:dyDescent="0.25">
      <c r="B247" s="98"/>
      <c r="D247" s="98"/>
      <c r="E247" s="98"/>
      <c r="F247" s="98"/>
      <c r="G247" s="98"/>
      <c r="H247" s="98"/>
      <c r="I247" s="98"/>
      <c r="J247" s="98"/>
      <c r="K247" s="98"/>
      <c r="M247" s="98"/>
      <c r="N247" s="98"/>
      <c r="O247" s="98"/>
      <c r="P247" s="44"/>
      <c r="Q247" s="182"/>
    </row>
    <row r="248" spans="1:17" s="36" customFormat="1" ht="15" hidden="1" customHeight="1" x14ac:dyDescent="0.25">
      <c r="B248" s="98"/>
      <c r="D248" s="98"/>
      <c r="E248" s="98"/>
      <c r="F248" s="98"/>
      <c r="G248" s="98"/>
      <c r="H248" s="98"/>
      <c r="I248" s="98"/>
      <c r="J248" s="98"/>
      <c r="K248" s="98"/>
      <c r="M248" s="98"/>
      <c r="N248" s="98"/>
      <c r="O248" s="98"/>
      <c r="P248" s="44"/>
      <c r="Q248" s="182"/>
    </row>
    <row r="249" spans="1:17" s="36" customFormat="1" ht="15" hidden="1" customHeight="1" x14ac:dyDescent="0.25">
      <c r="B249" s="98"/>
      <c r="D249" s="98"/>
      <c r="E249" s="98"/>
      <c r="F249" s="98"/>
      <c r="G249" s="98"/>
      <c r="H249" s="98"/>
      <c r="I249" s="98"/>
      <c r="J249" s="98"/>
      <c r="K249" s="98"/>
      <c r="M249" s="98"/>
      <c r="N249" s="98"/>
      <c r="O249" s="98"/>
      <c r="P249" s="44"/>
      <c r="Q249" s="182"/>
    </row>
    <row r="250" spans="1:17" s="36" customFormat="1" ht="15" hidden="1" customHeight="1" x14ac:dyDescent="0.25">
      <c r="B250" s="98"/>
      <c r="D250" s="98"/>
      <c r="E250" s="98"/>
      <c r="F250" s="98"/>
      <c r="G250" s="98"/>
      <c r="H250" s="98"/>
      <c r="I250" s="98"/>
      <c r="J250" s="98"/>
      <c r="K250" s="98"/>
      <c r="M250" s="98"/>
      <c r="N250" s="98"/>
      <c r="O250" s="98"/>
      <c r="P250" s="44"/>
      <c r="Q250" s="182"/>
    </row>
    <row r="251" spans="1:17" s="36" customFormat="1" ht="15" hidden="1" customHeight="1" x14ac:dyDescent="0.25">
      <c r="B251" s="98"/>
      <c r="D251" s="98"/>
      <c r="E251" s="98"/>
      <c r="F251" s="98"/>
      <c r="G251" s="98"/>
      <c r="H251" s="98"/>
      <c r="I251" s="98"/>
      <c r="J251" s="98"/>
      <c r="K251" s="98"/>
      <c r="M251" s="98"/>
      <c r="N251" s="98"/>
      <c r="O251" s="98"/>
      <c r="P251" s="44"/>
      <c r="Q251" s="182"/>
    </row>
    <row r="252" spans="1:17" s="36" customFormat="1" ht="15" hidden="1" customHeight="1" x14ac:dyDescent="0.25">
      <c r="B252" s="98"/>
      <c r="D252" s="98"/>
      <c r="E252" s="98"/>
      <c r="F252" s="98"/>
      <c r="G252" s="98"/>
      <c r="H252" s="98"/>
      <c r="I252" s="98"/>
      <c r="J252" s="98"/>
      <c r="K252" s="98"/>
      <c r="M252" s="98"/>
      <c r="N252" s="98"/>
      <c r="O252" s="98"/>
      <c r="P252" s="44"/>
      <c r="Q252" s="182"/>
    </row>
    <row r="253" spans="1:17" s="36" customFormat="1" ht="15" hidden="1" customHeight="1" x14ac:dyDescent="0.25">
      <c r="B253" s="98"/>
      <c r="D253" s="98"/>
      <c r="E253" s="98"/>
      <c r="F253" s="98"/>
      <c r="G253" s="98"/>
      <c r="H253" s="98"/>
      <c r="I253" s="98"/>
      <c r="J253" s="98"/>
      <c r="K253" s="98"/>
      <c r="M253" s="98"/>
      <c r="N253" s="98"/>
      <c r="O253" s="98"/>
      <c r="P253" s="44"/>
      <c r="Q253" s="182"/>
    </row>
    <row r="254" spans="1:17" s="36" customFormat="1" ht="15" hidden="1" customHeight="1" x14ac:dyDescent="0.25">
      <c r="B254" s="98"/>
      <c r="D254" s="98"/>
      <c r="E254" s="98"/>
      <c r="F254" s="98"/>
      <c r="G254" s="98"/>
      <c r="H254" s="98"/>
      <c r="I254" s="98"/>
      <c r="J254" s="98"/>
      <c r="K254" s="98"/>
      <c r="M254" s="98"/>
      <c r="N254" s="98"/>
      <c r="O254" s="98"/>
      <c r="P254" s="44"/>
      <c r="Q254" s="182"/>
    </row>
    <row r="255" spans="1:17" s="36" customFormat="1" ht="15" hidden="1" customHeight="1" x14ac:dyDescent="0.25">
      <c r="B255" s="98"/>
      <c r="D255" s="98"/>
      <c r="E255" s="98"/>
      <c r="F255" s="98"/>
      <c r="G255" s="98"/>
      <c r="H255" s="98"/>
      <c r="I255" s="98"/>
      <c r="J255" s="98"/>
      <c r="K255" s="98"/>
      <c r="M255" s="98"/>
      <c r="N255" s="98"/>
      <c r="O255" s="98"/>
      <c r="P255" s="44"/>
      <c r="Q255" s="182"/>
    </row>
    <row r="256" spans="1:17" s="36" customFormat="1" ht="15" hidden="1" customHeight="1" x14ac:dyDescent="0.25">
      <c r="B256" s="98"/>
      <c r="D256" s="98"/>
      <c r="E256" s="98"/>
      <c r="F256" s="98"/>
      <c r="G256" s="98"/>
      <c r="H256" s="98"/>
      <c r="I256" s="98"/>
      <c r="J256" s="98"/>
      <c r="K256" s="98"/>
      <c r="M256" s="98"/>
      <c r="N256" s="98"/>
      <c r="O256" s="98"/>
      <c r="P256" s="44"/>
      <c r="Q256" s="182"/>
    </row>
    <row r="257" spans="2:17" s="36" customFormat="1" ht="15" hidden="1" customHeight="1" x14ac:dyDescent="0.25">
      <c r="B257" s="98"/>
      <c r="D257" s="98"/>
      <c r="E257" s="98"/>
      <c r="F257" s="98"/>
      <c r="G257" s="98"/>
      <c r="H257" s="98"/>
      <c r="I257" s="98"/>
      <c r="J257" s="98"/>
      <c r="K257" s="98"/>
      <c r="M257" s="98"/>
      <c r="N257" s="98"/>
      <c r="O257" s="98"/>
      <c r="P257" s="44"/>
      <c r="Q257" s="182"/>
    </row>
    <row r="258" spans="2:17" s="36" customFormat="1" ht="15" hidden="1" customHeight="1" x14ac:dyDescent="0.25">
      <c r="B258" s="98"/>
      <c r="D258" s="98"/>
      <c r="E258" s="98"/>
      <c r="F258" s="98"/>
      <c r="G258" s="98"/>
      <c r="H258" s="98"/>
      <c r="I258" s="98"/>
      <c r="J258" s="98"/>
      <c r="K258" s="98"/>
      <c r="M258" s="98"/>
      <c r="N258" s="98"/>
      <c r="O258" s="98"/>
      <c r="P258" s="44"/>
      <c r="Q258" s="182"/>
    </row>
    <row r="259" spans="2:17" s="36" customFormat="1" ht="15" hidden="1" customHeight="1" x14ac:dyDescent="0.25">
      <c r="B259" s="98"/>
      <c r="D259" s="98"/>
      <c r="E259" s="98"/>
      <c r="F259" s="98"/>
      <c r="G259" s="98"/>
      <c r="H259" s="98"/>
      <c r="I259" s="98"/>
      <c r="J259" s="98"/>
      <c r="K259" s="98"/>
      <c r="M259" s="98"/>
      <c r="N259" s="98"/>
      <c r="O259" s="98"/>
      <c r="P259" s="44"/>
      <c r="Q259" s="182"/>
    </row>
    <row r="260" spans="2:17" s="36" customFormat="1" ht="15" hidden="1" customHeight="1" x14ac:dyDescent="0.25">
      <c r="B260" s="98"/>
      <c r="D260" s="98"/>
      <c r="E260" s="98"/>
      <c r="F260" s="98"/>
      <c r="G260" s="98"/>
      <c r="H260" s="98"/>
      <c r="I260" s="98"/>
      <c r="J260" s="98"/>
      <c r="K260" s="98"/>
      <c r="M260" s="98"/>
      <c r="N260" s="98"/>
      <c r="O260" s="98"/>
      <c r="P260" s="44"/>
      <c r="Q260" s="182"/>
    </row>
    <row r="261" spans="2:17" s="36" customFormat="1" ht="15" hidden="1" customHeight="1" x14ac:dyDescent="0.25">
      <c r="B261" s="98"/>
      <c r="D261" s="98"/>
      <c r="E261" s="98"/>
      <c r="F261" s="98"/>
      <c r="G261" s="98"/>
      <c r="H261" s="98"/>
      <c r="I261" s="98"/>
      <c r="J261" s="98"/>
      <c r="K261" s="98"/>
      <c r="M261" s="98"/>
      <c r="N261" s="98"/>
      <c r="O261" s="98"/>
      <c r="P261" s="44"/>
      <c r="Q261" s="182"/>
    </row>
    <row r="262" spans="2:17" s="36" customFormat="1" ht="15" hidden="1" customHeight="1" x14ac:dyDescent="0.25">
      <c r="B262" s="98"/>
      <c r="D262" s="98"/>
      <c r="E262" s="98"/>
      <c r="F262" s="98"/>
      <c r="G262" s="98"/>
      <c r="H262" s="98"/>
      <c r="I262" s="98"/>
      <c r="J262" s="98"/>
      <c r="K262" s="98"/>
      <c r="M262" s="98"/>
      <c r="N262" s="98"/>
      <c r="O262" s="98"/>
      <c r="P262" s="44"/>
      <c r="Q262" s="182"/>
    </row>
    <row r="263" spans="2:17" s="36" customFormat="1" ht="15" hidden="1" customHeight="1" x14ac:dyDescent="0.25">
      <c r="B263" s="98"/>
      <c r="D263" s="98"/>
      <c r="E263" s="98"/>
      <c r="F263" s="98"/>
      <c r="G263" s="98"/>
      <c r="H263" s="98"/>
      <c r="I263" s="98"/>
      <c r="J263" s="98"/>
      <c r="K263" s="98"/>
      <c r="M263" s="98"/>
      <c r="N263" s="98"/>
      <c r="O263" s="98"/>
      <c r="P263" s="44"/>
      <c r="Q263" s="182"/>
    </row>
    <row r="264" spans="2:17" s="36" customFormat="1" ht="15" hidden="1" customHeight="1" x14ac:dyDescent="0.25">
      <c r="B264" s="98"/>
      <c r="D264" s="98"/>
      <c r="E264" s="98"/>
      <c r="F264" s="98"/>
      <c r="G264" s="98"/>
      <c r="H264" s="98"/>
      <c r="I264" s="98"/>
      <c r="J264" s="98"/>
      <c r="K264" s="98"/>
      <c r="M264" s="98"/>
      <c r="N264" s="98"/>
      <c r="O264" s="98"/>
      <c r="P264" s="44"/>
      <c r="Q264" s="182"/>
    </row>
    <row r="265" spans="2:17" s="36" customFormat="1" ht="15" hidden="1" customHeight="1" x14ac:dyDescent="0.25">
      <c r="B265" s="98"/>
      <c r="D265" s="98"/>
      <c r="E265" s="98"/>
      <c r="F265" s="98"/>
      <c r="G265" s="98"/>
      <c r="H265" s="98"/>
      <c r="I265" s="98"/>
      <c r="J265" s="98"/>
      <c r="K265" s="98"/>
      <c r="M265" s="98"/>
      <c r="N265" s="98"/>
      <c r="O265" s="98"/>
      <c r="P265" s="44"/>
      <c r="Q265" s="182"/>
    </row>
    <row r="266" spans="2:17" s="36" customFormat="1" ht="15" hidden="1" customHeight="1" x14ac:dyDescent="0.25">
      <c r="B266" s="98"/>
      <c r="D266" s="98"/>
      <c r="E266" s="98"/>
      <c r="F266" s="98"/>
      <c r="G266" s="98"/>
      <c r="H266" s="98"/>
      <c r="I266" s="98"/>
      <c r="J266" s="98"/>
      <c r="K266" s="98"/>
      <c r="M266" s="98"/>
      <c r="N266" s="98"/>
      <c r="O266" s="98"/>
      <c r="P266" s="44"/>
      <c r="Q266" s="182"/>
    </row>
    <row r="267" spans="2:17" s="36" customFormat="1" ht="15" hidden="1" customHeight="1" x14ac:dyDescent="0.25">
      <c r="B267" s="98"/>
      <c r="D267" s="98"/>
      <c r="E267" s="98"/>
      <c r="F267" s="98"/>
      <c r="G267" s="98"/>
      <c r="H267" s="98"/>
      <c r="I267" s="98"/>
      <c r="J267" s="98"/>
      <c r="K267" s="98"/>
      <c r="M267" s="98"/>
      <c r="N267" s="98"/>
      <c r="O267" s="98"/>
      <c r="P267" s="44"/>
      <c r="Q267" s="182"/>
    </row>
    <row r="268" spans="2:17" s="36" customFormat="1" ht="15" hidden="1" customHeight="1" x14ac:dyDescent="0.25">
      <c r="B268" s="98"/>
      <c r="D268" s="98"/>
      <c r="E268" s="98"/>
      <c r="F268" s="98"/>
      <c r="G268" s="98"/>
      <c r="H268" s="98"/>
      <c r="I268" s="98"/>
      <c r="J268" s="98"/>
      <c r="K268" s="98"/>
      <c r="M268" s="98"/>
      <c r="N268" s="98"/>
      <c r="O268" s="98"/>
      <c r="P268" s="44"/>
      <c r="Q268" s="182"/>
    </row>
    <row r="269" spans="2:17" s="36" customFormat="1" ht="15" hidden="1" customHeight="1" x14ac:dyDescent="0.25">
      <c r="B269" s="98"/>
      <c r="D269" s="98"/>
      <c r="E269" s="98"/>
      <c r="F269" s="98"/>
      <c r="G269" s="98"/>
      <c r="H269" s="98"/>
      <c r="I269" s="98"/>
      <c r="J269" s="98"/>
      <c r="K269" s="98"/>
      <c r="M269" s="98"/>
      <c r="N269" s="98"/>
      <c r="O269" s="98"/>
      <c r="P269" s="44"/>
      <c r="Q269" s="182"/>
    </row>
    <row r="270" spans="2:17" s="36" customFormat="1" ht="15" hidden="1" customHeight="1" x14ac:dyDescent="0.25">
      <c r="B270" s="98"/>
      <c r="D270" s="98"/>
      <c r="E270" s="98"/>
      <c r="F270" s="98"/>
      <c r="G270" s="98"/>
      <c r="H270" s="98"/>
      <c r="I270" s="98"/>
      <c r="J270" s="98"/>
      <c r="K270" s="98"/>
      <c r="M270" s="98"/>
      <c r="N270" s="98"/>
      <c r="O270" s="98"/>
      <c r="P270" s="44"/>
      <c r="Q270" s="182"/>
    </row>
    <row r="271" spans="2:17" s="36" customFormat="1" ht="15" hidden="1" customHeight="1" x14ac:dyDescent="0.25">
      <c r="B271" s="98"/>
      <c r="D271" s="98"/>
      <c r="E271" s="98"/>
      <c r="F271" s="98"/>
      <c r="G271" s="98"/>
      <c r="H271" s="98"/>
      <c r="I271" s="98"/>
      <c r="J271" s="98"/>
      <c r="K271" s="98"/>
      <c r="M271" s="98"/>
      <c r="N271" s="98"/>
      <c r="O271" s="98"/>
      <c r="P271" s="44"/>
      <c r="Q271" s="182"/>
    </row>
    <row r="272" spans="2:17" s="36" customFormat="1" ht="15" hidden="1" customHeight="1" x14ac:dyDescent="0.25">
      <c r="B272" s="98"/>
      <c r="D272" s="98"/>
      <c r="E272" s="98"/>
      <c r="F272" s="98"/>
      <c r="G272" s="98"/>
      <c r="H272" s="98"/>
      <c r="I272" s="98"/>
      <c r="J272" s="98"/>
      <c r="K272" s="98"/>
      <c r="M272" s="98"/>
      <c r="N272" s="98"/>
      <c r="O272" s="98"/>
      <c r="P272" s="44"/>
      <c r="Q272" s="182"/>
    </row>
    <row r="273" spans="2:17" s="36" customFormat="1" ht="15" hidden="1" customHeight="1" x14ac:dyDescent="0.25">
      <c r="B273" s="98"/>
      <c r="D273" s="98"/>
      <c r="E273" s="98"/>
      <c r="F273" s="98"/>
      <c r="G273" s="98"/>
      <c r="H273" s="98"/>
      <c r="I273" s="98"/>
      <c r="J273" s="98"/>
      <c r="K273" s="98"/>
      <c r="M273" s="98"/>
      <c r="N273" s="98"/>
      <c r="O273" s="98"/>
      <c r="P273" s="44"/>
      <c r="Q273" s="182"/>
    </row>
    <row r="274" spans="2:17" s="36" customFormat="1" ht="15" hidden="1" customHeight="1" x14ac:dyDescent="0.25">
      <c r="B274" s="98"/>
      <c r="D274" s="98"/>
      <c r="E274" s="98"/>
      <c r="F274" s="98"/>
      <c r="G274" s="98"/>
      <c r="H274" s="98"/>
      <c r="I274" s="98"/>
      <c r="J274" s="98"/>
      <c r="K274" s="98"/>
      <c r="M274" s="98"/>
      <c r="N274" s="98"/>
      <c r="O274" s="98"/>
      <c r="P274" s="44"/>
      <c r="Q274" s="182"/>
    </row>
    <row r="275" spans="2:17" s="36" customFormat="1" ht="15" hidden="1" customHeight="1" x14ac:dyDescent="0.25">
      <c r="B275" s="98"/>
      <c r="D275" s="98"/>
      <c r="E275" s="98"/>
      <c r="F275" s="98"/>
      <c r="G275" s="98"/>
      <c r="H275" s="98"/>
      <c r="I275" s="98"/>
      <c r="J275" s="98"/>
      <c r="K275" s="98"/>
      <c r="M275" s="98"/>
      <c r="N275" s="98"/>
      <c r="O275" s="98"/>
      <c r="P275" s="44"/>
      <c r="Q275" s="182"/>
    </row>
    <row r="276" spans="2:17" s="36" customFormat="1" ht="15" hidden="1" customHeight="1" x14ac:dyDescent="0.25">
      <c r="B276" s="98"/>
      <c r="D276" s="98"/>
      <c r="E276" s="98"/>
      <c r="F276" s="98"/>
      <c r="G276" s="98"/>
      <c r="H276" s="98"/>
      <c r="I276" s="98"/>
      <c r="J276" s="98"/>
      <c r="K276" s="98"/>
      <c r="M276" s="98"/>
      <c r="N276" s="98"/>
      <c r="O276" s="98"/>
      <c r="P276" s="44"/>
      <c r="Q276" s="182"/>
    </row>
    <row r="277" spans="2:17" s="36" customFormat="1" ht="15" hidden="1" customHeight="1" x14ac:dyDescent="0.25">
      <c r="B277" s="98"/>
      <c r="D277" s="98"/>
      <c r="E277" s="98"/>
      <c r="F277" s="98"/>
      <c r="G277" s="98"/>
      <c r="H277" s="98"/>
      <c r="I277" s="98"/>
      <c r="J277" s="98"/>
      <c r="K277" s="98"/>
      <c r="M277" s="98"/>
      <c r="N277" s="98"/>
      <c r="O277" s="98"/>
      <c r="P277" s="44"/>
      <c r="Q277" s="182"/>
    </row>
    <row r="278" spans="2:17" s="36" customFormat="1" ht="15" hidden="1" customHeight="1" x14ac:dyDescent="0.25">
      <c r="B278" s="98"/>
      <c r="D278" s="98"/>
      <c r="E278" s="98"/>
      <c r="F278" s="98"/>
      <c r="G278" s="98"/>
      <c r="H278" s="98"/>
      <c r="I278" s="98"/>
      <c r="J278" s="98"/>
      <c r="K278" s="98"/>
      <c r="M278" s="98"/>
      <c r="N278" s="98"/>
      <c r="O278" s="98"/>
      <c r="P278" s="44"/>
      <c r="Q278" s="182"/>
    </row>
    <row r="279" spans="2:17" s="36" customFormat="1" ht="15" hidden="1" customHeight="1" x14ac:dyDescent="0.25">
      <c r="B279" s="98"/>
      <c r="D279" s="98"/>
      <c r="E279" s="98"/>
      <c r="F279" s="98"/>
      <c r="G279" s="98"/>
      <c r="H279" s="98"/>
      <c r="I279" s="98"/>
      <c r="J279" s="98"/>
      <c r="K279" s="98"/>
      <c r="M279" s="98"/>
      <c r="N279" s="98"/>
      <c r="O279" s="98"/>
      <c r="P279" s="44"/>
      <c r="Q279" s="182"/>
    </row>
    <row r="280" spans="2:17" s="36" customFormat="1" ht="15" hidden="1" customHeight="1" x14ac:dyDescent="0.25">
      <c r="B280" s="98"/>
      <c r="D280" s="98"/>
      <c r="E280" s="98"/>
      <c r="F280" s="98"/>
      <c r="G280" s="98"/>
      <c r="H280" s="98"/>
      <c r="I280" s="98"/>
      <c r="J280" s="98"/>
      <c r="K280" s="98"/>
      <c r="M280" s="98"/>
      <c r="N280" s="98"/>
      <c r="O280" s="98"/>
      <c r="P280" s="44"/>
      <c r="Q280" s="182"/>
    </row>
    <row r="281" spans="2:17" s="36" customFormat="1" ht="15" hidden="1" customHeight="1" x14ac:dyDescent="0.25">
      <c r="B281" s="98"/>
      <c r="D281" s="98"/>
      <c r="E281" s="98"/>
      <c r="F281" s="98"/>
      <c r="G281" s="98"/>
      <c r="H281" s="98"/>
      <c r="I281" s="98"/>
      <c r="J281" s="98"/>
      <c r="K281" s="98"/>
      <c r="M281" s="98"/>
      <c r="N281" s="98"/>
      <c r="O281" s="98"/>
      <c r="P281" s="44"/>
      <c r="Q281" s="182"/>
    </row>
    <row r="282" spans="2:17" s="36" customFormat="1" ht="15" hidden="1" customHeight="1" x14ac:dyDescent="0.25">
      <c r="B282" s="98"/>
      <c r="D282" s="98"/>
      <c r="E282" s="98"/>
      <c r="F282" s="98"/>
      <c r="G282" s="98"/>
      <c r="H282" s="98"/>
      <c r="I282" s="98"/>
      <c r="J282" s="98"/>
      <c r="K282" s="98"/>
      <c r="M282" s="98"/>
      <c r="N282" s="98"/>
      <c r="O282" s="98"/>
      <c r="P282" s="44"/>
      <c r="Q282" s="182"/>
    </row>
    <row r="283" spans="2:17" s="36" customFormat="1" ht="15" hidden="1" customHeight="1" x14ac:dyDescent="0.25">
      <c r="B283" s="98"/>
      <c r="D283" s="98"/>
      <c r="E283" s="98"/>
      <c r="F283" s="98"/>
      <c r="G283" s="98"/>
      <c r="H283" s="98"/>
      <c r="I283" s="98"/>
      <c r="J283" s="98"/>
      <c r="K283" s="98"/>
      <c r="M283" s="98"/>
      <c r="N283" s="98"/>
      <c r="O283" s="98"/>
      <c r="P283" s="44"/>
      <c r="Q283" s="182"/>
    </row>
    <row r="284" spans="2:17" s="36" customFormat="1" ht="15" hidden="1" customHeight="1" x14ac:dyDescent="0.25">
      <c r="B284" s="98"/>
      <c r="D284" s="98"/>
      <c r="E284" s="98"/>
      <c r="F284" s="98"/>
      <c r="G284" s="98"/>
      <c r="H284" s="98"/>
      <c r="I284" s="98"/>
      <c r="J284" s="98"/>
      <c r="K284" s="98"/>
      <c r="M284" s="98"/>
      <c r="N284" s="98"/>
      <c r="O284" s="98"/>
      <c r="P284" s="44"/>
      <c r="Q284" s="182"/>
    </row>
    <row r="285" spans="2:17" s="36" customFormat="1" ht="15" hidden="1" customHeight="1" x14ac:dyDescent="0.25">
      <c r="B285" s="98"/>
      <c r="D285" s="98"/>
      <c r="E285" s="98"/>
      <c r="F285" s="98"/>
      <c r="G285" s="98"/>
      <c r="H285" s="98"/>
      <c r="I285" s="98"/>
      <c r="J285" s="98"/>
      <c r="K285" s="98"/>
      <c r="M285" s="98"/>
      <c r="N285" s="98"/>
      <c r="O285" s="98"/>
      <c r="P285" s="44"/>
      <c r="Q285" s="182"/>
    </row>
    <row r="286" spans="2:17" s="36" customFormat="1" ht="15" hidden="1" customHeight="1" x14ac:dyDescent="0.25">
      <c r="B286" s="98"/>
      <c r="D286" s="98"/>
      <c r="E286" s="98"/>
      <c r="F286" s="98"/>
      <c r="G286" s="98"/>
      <c r="H286" s="98"/>
      <c r="I286" s="98"/>
      <c r="J286" s="98"/>
      <c r="K286" s="98"/>
      <c r="M286" s="98"/>
      <c r="N286" s="98"/>
      <c r="O286" s="98"/>
      <c r="P286" s="44"/>
      <c r="Q286" s="182"/>
    </row>
    <row r="287" spans="2:17" s="36" customFormat="1" ht="15" hidden="1" customHeight="1" x14ac:dyDescent="0.25">
      <c r="B287" s="98"/>
      <c r="D287" s="98"/>
      <c r="E287" s="98"/>
      <c r="F287" s="98"/>
      <c r="G287" s="98"/>
      <c r="H287" s="98"/>
      <c r="I287" s="98"/>
      <c r="J287" s="98"/>
      <c r="K287" s="98"/>
      <c r="M287" s="98"/>
      <c r="N287" s="98"/>
      <c r="O287" s="98"/>
      <c r="P287" s="44"/>
      <c r="Q287" s="182"/>
    </row>
    <row r="288" spans="2:17" s="36" customFormat="1" ht="15" hidden="1" customHeight="1" x14ac:dyDescent="0.25">
      <c r="B288" s="98"/>
      <c r="D288" s="98"/>
      <c r="E288" s="98"/>
      <c r="F288" s="98"/>
      <c r="G288" s="98"/>
      <c r="H288" s="98"/>
      <c r="I288" s="98"/>
      <c r="J288" s="98"/>
      <c r="K288" s="98"/>
      <c r="M288" s="98"/>
      <c r="N288" s="98"/>
      <c r="O288" s="98"/>
      <c r="P288" s="44"/>
      <c r="Q288" s="182"/>
    </row>
    <row r="289" spans="2:17" s="36" customFormat="1" ht="15" hidden="1" customHeight="1" x14ac:dyDescent="0.25">
      <c r="B289" s="98"/>
      <c r="D289" s="98"/>
      <c r="E289" s="98"/>
      <c r="F289" s="98"/>
      <c r="G289" s="98"/>
      <c r="H289" s="98"/>
      <c r="I289" s="98"/>
      <c r="J289" s="98"/>
      <c r="K289" s="98"/>
      <c r="M289" s="98"/>
      <c r="N289" s="98"/>
      <c r="O289" s="98"/>
      <c r="P289" s="44"/>
      <c r="Q289" s="182"/>
    </row>
    <row r="290" spans="2:17" s="36" customFormat="1" ht="15" hidden="1" customHeight="1" x14ac:dyDescent="0.25">
      <c r="B290" s="98"/>
      <c r="D290" s="98"/>
      <c r="E290" s="98"/>
      <c r="F290" s="98"/>
      <c r="G290" s="98"/>
      <c r="H290" s="98"/>
      <c r="I290" s="98"/>
      <c r="J290" s="98"/>
      <c r="K290" s="98"/>
      <c r="M290" s="98"/>
      <c r="N290" s="98"/>
      <c r="O290" s="98"/>
      <c r="P290" s="44"/>
      <c r="Q290" s="182"/>
    </row>
    <row r="291" spans="2:17" s="36" customFormat="1" ht="15" hidden="1" customHeight="1" x14ac:dyDescent="0.25">
      <c r="B291" s="98"/>
      <c r="D291" s="98"/>
      <c r="E291" s="98"/>
      <c r="F291" s="98"/>
      <c r="G291" s="98"/>
      <c r="H291" s="98"/>
      <c r="I291" s="98"/>
      <c r="J291" s="98"/>
      <c r="K291" s="98"/>
      <c r="M291" s="98"/>
      <c r="N291" s="98"/>
      <c r="O291" s="98"/>
      <c r="P291" s="44"/>
      <c r="Q291" s="182"/>
    </row>
    <row r="292" spans="2:17" s="36" customFormat="1" ht="15" hidden="1" customHeight="1" x14ac:dyDescent="0.25">
      <c r="B292" s="98"/>
      <c r="D292" s="98"/>
      <c r="E292" s="98"/>
      <c r="F292" s="98"/>
      <c r="G292" s="98"/>
      <c r="H292" s="98"/>
      <c r="I292" s="98"/>
      <c r="J292" s="98"/>
      <c r="K292" s="98"/>
      <c r="M292" s="98"/>
      <c r="N292" s="98"/>
      <c r="O292" s="98"/>
      <c r="P292" s="44"/>
      <c r="Q292" s="182"/>
    </row>
    <row r="293" spans="2:17" s="36" customFormat="1" ht="15" hidden="1" customHeight="1" x14ac:dyDescent="0.25">
      <c r="B293" s="98"/>
      <c r="D293" s="98"/>
      <c r="E293" s="98"/>
      <c r="F293" s="98"/>
      <c r="G293" s="98"/>
      <c r="H293" s="98"/>
      <c r="I293" s="98"/>
      <c r="J293" s="98"/>
      <c r="K293" s="98"/>
      <c r="M293" s="98"/>
      <c r="N293" s="98"/>
      <c r="O293" s="98"/>
      <c r="P293" s="44"/>
      <c r="Q293" s="182"/>
    </row>
    <row r="294" spans="2:17" s="36" customFormat="1" ht="15" hidden="1" customHeight="1" x14ac:dyDescent="0.25">
      <c r="B294" s="98"/>
      <c r="D294" s="98"/>
      <c r="E294" s="98"/>
      <c r="F294" s="98"/>
      <c r="G294" s="98"/>
      <c r="H294" s="98"/>
      <c r="I294" s="98"/>
      <c r="J294" s="98"/>
      <c r="K294" s="98"/>
      <c r="M294" s="98"/>
      <c r="N294" s="98"/>
      <c r="O294" s="98"/>
      <c r="P294" s="44"/>
      <c r="Q294" s="182"/>
    </row>
    <row r="295" spans="2:17" s="36" customFormat="1" ht="15" hidden="1" customHeight="1" x14ac:dyDescent="0.25">
      <c r="B295" s="98"/>
      <c r="D295" s="98"/>
      <c r="E295" s="98"/>
      <c r="F295" s="98"/>
      <c r="G295" s="98"/>
      <c r="H295" s="98"/>
      <c r="I295" s="98"/>
      <c r="J295" s="98"/>
      <c r="K295" s="98"/>
      <c r="M295" s="98"/>
      <c r="N295" s="98"/>
      <c r="O295" s="98"/>
      <c r="P295" s="44"/>
      <c r="Q295" s="182"/>
    </row>
    <row r="296" spans="2:17" s="36" customFormat="1" ht="15" hidden="1" customHeight="1" x14ac:dyDescent="0.25">
      <c r="B296" s="98"/>
      <c r="D296" s="98"/>
      <c r="E296" s="98"/>
      <c r="F296" s="98"/>
      <c r="G296" s="98"/>
      <c r="H296" s="98"/>
      <c r="I296" s="98"/>
      <c r="J296" s="98"/>
      <c r="K296" s="98"/>
      <c r="M296" s="98"/>
      <c r="N296" s="98"/>
      <c r="O296" s="98"/>
      <c r="P296" s="44"/>
      <c r="Q296" s="182"/>
    </row>
    <row r="297" spans="2:17" s="36" customFormat="1" ht="15" hidden="1" customHeight="1" x14ac:dyDescent="0.25">
      <c r="B297" s="98"/>
      <c r="D297" s="98"/>
      <c r="E297" s="98"/>
      <c r="F297" s="98"/>
      <c r="G297" s="98"/>
      <c r="H297" s="98"/>
      <c r="I297" s="98"/>
      <c r="J297" s="98"/>
      <c r="K297" s="98"/>
      <c r="M297" s="98"/>
      <c r="N297" s="98"/>
      <c r="O297" s="98"/>
      <c r="P297" s="44"/>
      <c r="Q297" s="182"/>
    </row>
    <row r="298" spans="2:17" s="36" customFormat="1" ht="15" hidden="1" customHeight="1" x14ac:dyDescent="0.25">
      <c r="B298" s="98"/>
      <c r="D298" s="98"/>
      <c r="E298" s="98"/>
      <c r="F298" s="98"/>
      <c r="G298" s="98"/>
      <c r="H298" s="98"/>
      <c r="I298" s="98"/>
      <c r="J298" s="98"/>
      <c r="K298" s="98"/>
      <c r="M298" s="98"/>
      <c r="N298" s="98"/>
      <c r="O298" s="98"/>
      <c r="P298" s="44"/>
      <c r="Q298" s="182"/>
    </row>
    <row r="299" spans="2:17" s="36" customFormat="1" ht="15" hidden="1" customHeight="1" x14ac:dyDescent="0.25">
      <c r="B299" s="98"/>
      <c r="D299" s="98"/>
      <c r="E299" s="98"/>
      <c r="F299" s="98"/>
      <c r="G299" s="98"/>
      <c r="H299" s="98"/>
      <c r="I299" s="98"/>
      <c r="J299" s="98"/>
      <c r="K299" s="98"/>
      <c r="M299" s="98"/>
      <c r="N299" s="98"/>
      <c r="O299" s="98"/>
      <c r="P299" s="44"/>
      <c r="Q299" s="182"/>
    </row>
    <row r="300" spans="2:17" s="36" customFormat="1" ht="15" hidden="1" customHeight="1" x14ac:dyDescent="0.25">
      <c r="B300" s="98"/>
      <c r="D300" s="98"/>
      <c r="E300" s="98"/>
      <c r="F300" s="98"/>
      <c r="G300" s="98"/>
      <c r="H300" s="98"/>
      <c r="I300" s="98"/>
      <c r="J300" s="98"/>
      <c r="K300" s="98"/>
      <c r="M300" s="98"/>
      <c r="N300" s="98"/>
      <c r="O300" s="98"/>
      <c r="P300" s="44"/>
      <c r="Q300" s="182"/>
    </row>
    <row r="301" spans="2:17" s="36" customFormat="1" ht="15" hidden="1" customHeight="1" x14ac:dyDescent="0.25">
      <c r="B301" s="98"/>
      <c r="D301" s="98"/>
      <c r="E301" s="98"/>
      <c r="F301" s="98"/>
      <c r="G301" s="98"/>
      <c r="H301" s="98"/>
      <c r="I301" s="98"/>
      <c r="J301" s="98"/>
      <c r="K301" s="98"/>
      <c r="M301" s="98"/>
      <c r="N301" s="98"/>
      <c r="O301" s="98"/>
      <c r="P301" s="44"/>
      <c r="Q301" s="182"/>
    </row>
    <row r="302" spans="2:17" s="36" customFormat="1" ht="15" hidden="1" customHeight="1" x14ac:dyDescent="0.25">
      <c r="B302" s="98"/>
      <c r="D302" s="98"/>
      <c r="E302" s="98"/>
      <c r="F302" s="98"/>
      <c r="G302" s="98"/>
      <c r="H302" s="98"/>
      <c r="I302" s="98"/>
      <c r="J302" s="98"/>
      <c r="K302" s="98"/>
      <c r="M302" s="98"/>
      <c r="N302" s="98"/>
      <c r="O302" s="98"/>
      <c r="P302" s="44"/>
      <c r="Q302" s="182"/>
    </row>
    <row r="303" spans="2:17" s="36" customFormat="1" ht="15" hidden="1" customHeight="1" x14ac:dyDescent="0.25">
      <c r="B303" s="98"/>
      <c r="D303" s="98"/>
      <c r="E303" s="98"/>
      <c r="F303" s="98"/>
      <c r="G303" s="98"/>
      <c r="H303" s="98"/>
      <c r="I303" s="98"/>
      <c r="J303" s="98"/>
      <c r="K303" s="98"/>
      <c r="M303" s="98"/>
      <c r="N303" s="98"/>
      <c r="O303" s="98"/>
      <c r="P303" s="44"/>
      <c r="Q303" s="182"/>
    </row>
    <row r="304" spans="2:17" s="36" customFormat="1" ht="15" hidden="1" customHeight="1" x14ac:dyDescent="0.25">
      <c r="B304" s="98"/>
      <c r="D304" s="98"/>
      <c r="E304" s="98"/>
      <c r="F304" s="98"/>
      <c r="G304" s="98"/>
      <c r="H304" s="98"/>
      <c r="I304" s="98"/>
      <c r="J304" s="98"/>
      <c r="K304" s="98"/>
      <c r="M304" s="98"/>
      <c r="N304" s="98"/>
      <c r="O304" s="98"/>
      <c r="P304" s="44"/>
      <c r="Q304" s="182"/>
    </row>
    <row r="305" spans="2:17" s="36" customFormat="1" ht="15" hidden="1" customHeight="1" x14ac:dyDescent="0.25">
      <c r="B305" s="98"/>
      <c r="D305" s="98"/>
      <c r="E305" s="98"/>
      <c r="F305" s="98"/>
      <c r="G305" s="98"/>
      <c r="H305" s="98"/>
      <c r="I305" s="98"/>
      <c r="J305" s="98"/>
      <c r="K305" s="98"/>
      <c r="M305" s="98"/>
      <c r="N305" s="98"/>
      <c r="O305" s="98"/>
      <c r="P305" s="44"/>
      <c r="Q305" s="182"/>
    </row>
    <row r="306" spans="2:17" s="36" customFormat="1" ht="15" hidden="1" customHeight="1" x14ac:dyDescent="0.25">
      <c r="B306" s="98"/>
      <c r="D306" s="98"/>
      <c r="E306" s="98"/>
      <c r="F306" s="98"/>
      <c r="G306" s="98"/>
      <c r="H306" s="98"/>
      <c r="I306" s="98"/>
      <c r="J306" s="98"/>
      <c r="K306" s="98"/>
      <c r="M306" s="98"/>
      <c r="N306" s="98"/>
      <c r="O306" s="98"/>
      <c r="P306" s="44"/>
      <c r="Q306" s="182"/>
    </row>
    <row r="307" spans="2:17" s="36" customFormat="1" ht="15" hidden="1" customHeight="1" x14ac:dyDescent="0.25">
      <c r="B307" s="98"/>
      <c r="D307" s="98"/>
      <c r="E307" s="98"/>
      <c r="F307" s="98"/>
      <c r="G307" s="98"/>
      <c r="H307" s="98"/>
      <c r="I307" s="98"/>
      <c r="J307" s="98"/>
      <c r="K307" s="98"/>
      <c r="M307" s="98"/>
      <c r="N307" s="98"/>
      <c r="O307" s="98"/>
      <c r="P307" s="44"/>
      <c r="Q307" s="182"/>
    </row>
    <row r="308" spans="2:17" s="36" customFormat="1" ht="15" hidden="1" customHeight="1" x14ac:dyDescent="0.25">
      <c r="B308" s="98"/>
      <c r="D308" s="98"/>
      <c r="E308" s="98"/>
      <c r="F308" s="98"/>
      <c r="G308" s="98"/>
      <c r="H308" s="98"/>
      <c r="I308" s="98"/>
      <c r="J308" s="98"/>
      <c r="K308" s="98"/>
      <c r="M308" s="98"/>
      <c r="N308" s="98"/>
      <c r="O308" s="98"/>
      <c r="P308" s="44"/>
      <c r="Q308" s="182"/>
    </row>
    <row r="309" spans="2:17" ht="15" customHeight="1" x14ac:dyDescent="0.25"/>
  </sheetData>
  <mergeCells count="13">
    <mergeCell ref="L186:M186"/>
    <mergeCell ref="K190:L190"/>
    <mergeCell ref="J192:K192"/>
    <mergeCell ref="G202:I202"/>
    <mergeCell ref="E154:F154"/>
    <mergeCell ref="I154:J154"/>
    <mergeCell ref="D9:M9"/>
    <mergeCell ref="D47:M47"/>
    <mergeCell ref="J144:M144"/>
    <mergeCell ref="E152:F152"/>
    <mergeCell ref="I152:J152"/>
    <mergeCell ref="L152:M152"/>
    <mergeCell ref="I146:J146"/>
  </mergeCells>
  <conditionalFormatting sqref="E208 H208 J208 M208 E210 H210 J210 M210">
    <cfRule type="expression" dxfId="180" priority="3">
      <formula>NOT($I$109="Yes")</formula>
    </cfRule>
  </conditionalFormatting>
  <conditionalFormatting sqref="G182 L182 G184 L184 G186">
    <cfRule type="expression" dxfId="179" priority="6">
      <formula>NOT($H$178="Yes")</formula>
    </cfRule>
  </conditionalFormatting>
  <conditionalFormatting sqref="G220">
    <cfRule type="expression" dxfId="178" priority="2">
      <formula>NOT(OR($J$218="Increased",$J$218="Decreased"))</formula>
    </cfRule>
  </conditionalFormatting>
  <conditionalFormatting sqref="I204 H204:H211 E208 J208 M208 E210 J210 M210">
    <cfRule type="expression" dxfId="177" priority="4">
      <formula>NOT($I$49=100%)</formula>
    </cfRule>
  </conditionalFormatting>
  <conditionalFormatting sqref="I146:J146">
    <cfRule type="expression" dxfId="176" priority="5">
      <formula>AND(NOT($J$144="Yes - we have chosen not to work with certain clients (or even ‘fired’ clients)"),NOT($J$144="Yes - we have chosen not to pursue specific projects"))</formula>
    </cfRule>
  </conditionalFormatting>
  <conditionalFormatting sqref="J130 M130 J132 M132">
    <cfRule type="expression" dxfId="175" priority="11">
      <formula>$J$128&lt;&gt;"Yes"</formula>
    </cfRule>
  </conditionalFormatting>
  <conditionalFormatting sqref="J136 M136 J138 M138">
    <cfRule type="expression" dxfId="174" priority="10">
      <formula>$J$12&lt;&gt;"Yes"</formula>
    </cfRule>
  </conditionalFormatting>
  <conditionalFormatting sqref="J216">
    <cfRule type="expression" dxfId="173" priority="1">
      <formula>NOT($I$214="Yes")</formula>
    </cfRule>
  </conditionalFormatting>
  <conditionalFormatting sqref="L186">
    <cfRule type="expression" dxfId="172" priority="7">
      <formula>OR(ISBLANK($G$186), $G$186="0%")</formula>
    </cfRule>
  </conditionalFormatting>
  <conditionalFormatting sqref="M52 E54 H54 E57 H57 E59 H59 E61 H61 E64 H64 E66 H66 E68 H68 E70 H70 H73">
    <cfRule type="expression" dxfId="171" priority="26">
      <formula>$E$49=0</formula>
    </cfRule>
  </conditionalFormatting>
  <conditionalFormatting sqref="M76 E78 G78 I78 E81 G81 I81 E83 I83 E85 I85 E88 G88 I88 I90 I92 I95">
    <cfRule type="expression" dxfId="170" priority="25">
      <formula>$I$49=0</formula>
    </cfRule>
  </conditionalFormatting>
  <conditionalFormatting sqref="M118">
    <cfRule type="expression" dxfId="169" priority="27">
      <formula>NOT($M$115&gt;0)</formula>
    </cfRule>
  </conditionalFormatting>
  <conditionalFormatting sqref="P11 P22 P33 P38 P49 P54 P57 P59 P64 P66">
    <cfRule type="cellIs" dxfId="168" priority="23" operator="notEqual">
      <formula>"OK"</formula>
    </cfRule>
    <cfRule type="cellIs" dxfId="167" priority="24" operator="equal">
      <formula>"OK"</formula>
    </cfRule>
  </conditionalFormatting>
  <conditionalFormatting sqref="P76">
    <cfRule type="cellIs" dxfId="166" priority="21" operator="notEqual">
      <formula>"OK"</formula>
    </cfRule>
    <cfRule type="cellIs" dxfId="165" priority="22" operator="equal">
      <formula>"OK"</formula>
    </cfRule>
  </conditionalFormatting>
  <conditionalFormatting sqref="P81">
    <cfRule type="cellIs" dxfId="164" priority="19" operator="notEqual">
      <formula>"OK"</formula>
    </cfRule>
    <cfRule type="cellIs" dxfId="163" priority="20" operator="equal">
      <formula>"OK"</formula>
    </cfRule>
  </conditionalFormatting>
  <conditionalFormatting sqref="P83">
    <cfRule type="cellIs" dxfId="162" priority="17" operator="notEqual">
      <formula>"OK"</formula>
    </cfRule>
    <cfRule type="cellIs" dxfId="161" priority="18" operator="equal">
      <formula>"OK"</formula>
    </cfRule>
  </conditionalFormatting>
  <conditionalFormatting sqref="P88">
    <cfRule type="cellIs" dxfId="160" priority="15" operator="notEqual">
      <formula>"OK"</formula>
    </cfRule>
    <cfRule type="cellIs" dxfId="159" priority="16" operator="equal">
      <formula>"OK"</formula>
    </cfRule>
  </conditionalFormatting>
  <conditionalFormatting sqref="P115">
    <cfRule type="cellIs" dxfId="158" priority="13" operator="notEqual">
      <formula>"OK"</formula>
    </cfRule>
    <cfRule type="cellIs" dxfId="157" priority="14" operator="equal">
      <formula>"OK"</formula>
    </cfRule>
  </conditionalFormatting>
  <conditionalFormatting sqref="P128 P134">
    <cfRule type="cellIs" dxfId="156" priority="8" operator="notEqual">
      <formula>"OK"</formula>
    </cfRule>
    <cfRule type="cellIs" dxfId="155" priority="9" operator="equal">
      <formula>"OK"</formula>
    </cfRule>
  </conditionalFormatting>
  <dataValidations count="15">
    <dataValidation type="custom" allowBlank="1" showInputMessage="1" showErrorMessage="1" sqref="E13 H13 K13 H19 E15 E17 H15 E19 K19 H17 K15 K17 E26 E24 H24 K24 K26 E28 K30 K35 K28 E35 G35 I35 H30 H28 M35 H26 E30 H42 K42 E42 M40 E40 K40 H40 G78 I49 G81 E49 E54 E57 E59 E61 E64 E66 E68 E70:E73 H54 H64 H66 H68 H70:H73 H61 H59 H57 E78 I78 E81 E83 E85 E88 G88 I81 I83 I85 I95 I88 I90 I92 F101 J103 M103 M122 J122 M115 M120 M118 M105 M107 J105:J107 M132 J132 J138 J130 J136 M136 M130 M138" xr:uid="{3ED7FA8D-ACAD-4A4D-AA1E-38DA9BB3CFB5}">
      <formula1>ISNUMBER(E13)</formula1>
    </dataValidation>
    <dataValidation type="list" allowBlank="1" showInputMessage="1" showErrorMessage="1" sqref="J128 J134 G196 G198 G200 L196 L198 L200 E208 M210 J210 E210 M208 J208 H204:H211" xr:uid="{B566105A-B00A-4586-AD7D-3C965F1B68DD}">
      <formula1>INDIRECT("Dropdown_YesNo")</formula1>
    </dataValidation>
    <dataValidation type="list" allowBlank="1" showInputMessage="1" showErrorMessage="1" sqref="I146" xr:uid="{618ED44C-6725-4B67-B38B-6E02D3FFD4EC}">
      <formula1>Dropdown_DeterminingClientSelectivity</formula1>
    </dataValidation>
    <dataValidation type="list" allowBlank="1" showInputMessage="1" showErrorMessage="1" sqref="H158" xr:uid="{6BCA6F7F-2924-4EF3-9911-9C73971C0205}">
      <formula1>Dropdown_SuccessIncreasingPricing</formula1>
    </dataValidation>
    <dataValidation type="list" allowBlank="1" showInputMessage="1" showErrorMessage="1" sqref="G156" xr:uid="{FD5149E8-3375-437B-874E-FE87141AFD6A}">
      <formula1>Dropdown_EaseIncreasingPricing</formula1>
    </dataValidation>
    <dataValidation type="list" allowBlank="1" sqref="K190" xr:uid="{DF838E95-692A-4039-87AF-7F9274570AA0}">
      <formula1>"There will be a SEVERE recession.,There will be a MODERATE recession.,There will be a SLIGHT recession.,There will NOT be a recession."</formula1>
    </dataValidation>
    <dataValidation type="list" allowBlank="1" sqref="J192" xr:uid="{1E597457-6908-4141-95B5-8EA2DBC7D401}">
      <formula1>"Extremely concerned,Very concerned,Somewhat concerned,Minimally concerned,Not at all concerned,Think it will be beneficial."</formula1>
    </dataValidation>
    <dataValidation type="list" allowBlank="1" showInputMessage="1" showErrorMessage="1" sqref="H178 I214" xr:uid="{6B21E0B2-C3F4-49AF-977E-A9C169E88FE9}">
      <formula1>INDIRECT("Dropdown_DEI")</formula1>
    </dataValidation>
    <dataValidation type="list" allowBlank="1" showInputMessage="1" showErrorMessage="1" sqref="G182 L182 G184 L184 G186" xr:uid="{E63D1DA2-A5D9-4789-898B-21F795C17674}">
      <formula1>"0%, &lt;5%, 5-10%, 10-20%, 20-30%, &gt;30%"</formula1>
    </dataValidation>
    <dataValidation type="list" allowBlank="1" showInputMessage="1" showErrorMessage="1" sqref="L148" xr:uid="{3EF667D0-2680-400C-BB17-74C3AEC7A009}">
      <formula1>"&gt;100%, 75-100%, 50-75%, 25-50%, &lt;25%, None yet, Unsure"</formula1>
    </dataValidation>
    <dataValidation type="list" allowBlank="1" showInputMessage="1" showErrorMessage="1" sqref="J144:J145" xr:uid="{F53F04D1-0B66-49F9-910A-D879D7D0A3CB}">
      <formula1>"Yes - we have chosen not to work with certain clients (or even ‘fired’ clients), Yes - we have chosen not to pursue specific projects, No more or less selective than before,  No - we are less selective today"</formula1>
    </dataValidation>
    <dataValidation type="list" allowBlank="1" showInputMessage="1" showErrorMessage="1" sqref="G220" xr:uid="{D0A25165-8ABA-4C25-9774-B42B7356F680}">
      <formula1>INDIRECT("Dropdown_FFPChangeDriver")</formula1>
    </dataValidation>
    <dataValidation type="list" allowBlank="1" showInputMessage="1" showErrorMessage="1" sqref="J218" xr:uid="{CC89C2BA-2BE6-456E-B1F6-B311D62AFAB2}">
      <formula1>INDIRECT("Dropdown_AnnualFFPChange")</formula1>
    </dataValidation>
    <dataValidation type="list" allowBlank="1" showInputMessage="1" showErrorMessage="1" sqref="J216" xr:uid="{327EF3A2-6D7A-4F4D-85DB-BD7504BEF8E0}">
      <formula1>INDIRECT("Dropdown_ManagementConsultingRevenue")</formula1>
    </dataValidation>
    <dataValidation type="list" allowBlank="1" showInputMessage="1" showErrorMessage="1" sqref="I204" xr:uid="{1231329E-A8AF-4305-A457-9BEA03FB3AED}">
      <formula1>Dropdown_DEI</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6D83142-2A30-4A56-8FA1-20C862394834}">
          <x14:formula1>
            <xm:f>Dropdowns!$AX$20:$AX$25</xm:f>
          </x14:formula1>
          <xm:sqref>E152:F152 E154:F154 I154:J154 I152:J152 L152:M152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E52F-B5CD-42CE-83CD-206FB7126A3F}">
  <sheetPr codeName="Sheet8">
    <pageSetUpPr fitToPage="1"/>
  </sheetPr>
  <dimension ref="A1:Q148"/>
  <sheetViews>
    <sheetView showGridLines="0" zoomScale="70" zoomScaleNormal="70" workbookViewId="0"/>
  </sheetViews>
  <sheetFormatPr defaultColWidth="0" defaultRowHeight="15" zeroHeight="1" x14ac:dyDescent="0.25"/>
  <cols>
    <col min="1" max="3" width="2.5703125" customWidth="1"/>
    <col min="4" max="13" width="18.140625" customWidth="1"/>
    <col min="14" max="15" width="2.5703125" customWidth="1"/>
    <col min="16" max="16" width="65.5703125" customWidth="1"/>
    <col min="17" max="17" width="2.5703125" customWidth="1"/>
    <col min="18" max="16384" width="9.140625" hidden="1"/>
  </cols>
  <sheetData>
    <row r="1" spans="1:17" ht="15.75" customHeight="1" x14ac:dyDescent="0.25"/>
    <row r="2" spans="1:17" s="36" customFormat="1" ht="7.5" customHeight="1" x14ac:dyDescent="0.25">
      <c r="P2" s="282"/>
    </row>
    <row r="3" spans="1:17" s="36" customFormat="1" ht="8.1" customHeight="1" x14ac:dyDescent="0.35">
      <c r="C3" s="59"/>
      <c r="D3" s="60"/>
      <c r="E3" s="61"/>
      <c r="F3" s="62"/>
      <c r="G3" s="63"/>
      <c r="H3" s="63"/>
      <c r="I3" s="64"/>
      <c r="J3" s="64"/>
      <c r="K3" s="63"/>
      <c r="L3" s="65"/>
      <c r="M3" s="66"/>
      <c r="N3" s="67"/>
      <c r="O3" s="57"/>
      <c r="P3" s="284"/>
      <c r="Q3" s="58"/>
    </row>
    <row r="4" spans="1:17" s="36" customFormat="1" ht="18.75" customHeight="1" x14ac:dyDescent="0.35">
      <c r="C4" s="79"/>
      <c r="D4" s="50" t="s">
        <v>1265</v>
      </c>
      <c r="N4" s="80"/>
      <c r="P4"/>
    </row>
    <row r="5" spans="1:17" s="36" customFormat="1" ht="7.5" customHeight="1" x14ac:dyDescent="0.25">
      <c r="C5" s="79"/>
      <c r="N5" s="80"/>
      <c r="P5"/>
    </row>
    <row r="6" spans="1:17" s="98" customFormat="1" ht="18.75" customHeight="1" x14ac:dyDescent="0.35">
      <c r="A6" s="36"/>
      <c r="B6" s="193"/>
      <c r="C6" s="194"/>
      <c r="D6" s="195" t="str">
        <f>"For each of the following sets of categories, please fill in the percentage of your firm’s " &amp; IF(TRUE,TEXT(2025-1,"0000"),TEXT(2025-1,"0000")) &amp; " Gross Revenues that comes from each category."</f>
        <v>For each of the following sets of categories, please fill in the percentage of your firm’s 2024 Gross Revenues that comes from each category.</v>
      </c>
      <c r="E6" s="36"/>
      <c r="F6" s="36"/>
      <c r="G6" s="36"/>
      <c r="H6" s="36"/>
      <c r="I6" s="36"/>
      <c r="J6" s="36"/>
      <c r="K6" s="36"/>
      <c r="L6" s="36"/>
      <c r="M6" s="36"/>
      <c r="N6" s="80"/>
      <c r="O6" s="36"/>
      <c r="P6"/>
      <c r="Q6" s="49"/>
    </row>
    <row r="7" spans="1:17" s="98" customFormat="1" ht="18.75" customHeight="1" x14ac:dyDescent="0.35">
      <c r="A7" s="36"/>
      <c r="B7" s="193"/>
      <c r="C7" s="194"/>
      <c r="D7" s="195" t="s">
        <v>591</v>
      </c>
      <c r="E7" s="36"/>
      <c r="F7" s="36"/>
      <c r="G7" s="36"/>
      <c r="H7" s="36"/>
      <c r="I7" s="36"/>
      <c r="J7" s="36"/>
      <c r="K7" s="36"/>
      <c r="L7" s="36"/>
      <c r="M7" s="36"/>
      <c r="N7" s="80"/>
      <c r="O7" s="36"/>
      <c r="P7"/>
      <c r="Q7" s="49"/>
    </row>
    <row r="8" spans="1:17" ht="7.5" customHeight="1" x14ac:dyDescent="0.25">
      <c r="C8" s="29"/>
      <c r="N8" s="331"/>
    </row>
    <row r="9" spans="1:17" s="98" customFormat="1" ht="39" customHeight="1" x14ac:dyDescent="0.35">
      <c r="A9" s="36"/>
      <c r="B9" s="193"/>
      <c r="C9" s="194"/>
      <c r="D9" s="463" t="s">
        <v>1286</v>
      </c>
      <c r="E9" s="464"/>
      <c r="F9" s="464"/>
      <c r="G9" s="464"/>
      <c r="H9" s="464"/>
      <c r="I9" s="464"/>
      <c r="J9" s="464"/>
      <c r="K9" s="464"/>
      <c r="L9" s="464"/>
      <c r="M9" s="464"/>
      <c r="N9" s="80"/>
      <c r="O9" s="36"/>
      <c r="P9"/>
      <c r="Q9" s="49"/>
    </row>
    <row r="10" spans="1:17" ht="7.5" customHeight="1" x14ac:dyDescent="0.25">
      <c r="C10" s="29"/>
      <c r="N10" s="331"/>
    </row>
    <row r="11" spans="1:17" s="98" customFormat="1" ht="39" customHeight="1" x14ac:dyDescent="0.35">
      <c r="A11" s="36"/>
      <c r="B11" s="193"/>
      <c r="C11" s="194"/>
      <c r="D11" s="463" t="s">
        <v>1104</v>
      </c>
      <c r="E11" s="464"/>
      <c r="F11" s="464"/>
      <c r="G11" s="464"/>
      <c r="H11" s="464"/>
      <c r="I11" s="464"/>
      <c r="J11" s="464"/>
      <c r="K11" s="464"/>
      <c r="L11" s="464"/>
      <c r="M11" s="464"/>
      <c r="N11" s="80"/>
      <c r="O11" s="36"/>
      <c r="P11"/>
      <c r="Q11" s="49"/>
    </row>
    <row r="12" spans="1:17" ht="7.5" customHeight="1" x14ac:dyDescent="0.25">
      <c r="C12" s="29"/>
      <c r="N12" s="331"/>
    </row>
    <row r="13" spans="1:17" ht="18.75" x14ac:dyDescent="0.3">
      <c r="C13" s="29"/>
      <c r="D13" s="196" t="s">
        <v>1105</v>
      </c>
      <c r="H13" s="231" t="str">
        <f>IF('Revenue Details'!$E$13=0, "Please skip this section if your firm has no environmental revenue.", "Should sum to 100%!")</f>
        <v>Please skip this section if your firm has no environmental revenue.</v>
      </c>
      <c r="L13" s="197" t="s">
        <v>65</v>
      </c>
      <c r="M13" s="274" t="str">
        <f>IF( COUNT(F15, I15, L15, F17, I17, L17, I19, F19, F21, I21, L19)&gt;0,
       SUM(F15, I15, L15, F17, I17, L17, I19, F19, F21, I21, L19), "")</f>
        <v/>
      </c>
      <c r="N13" s="331"/>
      <c r="P13" s="286" t="str">
        <f>IF(AND(H13&lt;&gt;"Please skip this section if your firm has no environmental revenue.", COUNT(F15,F17,F19,F21,I15,I17,I19,I21,L15,L17,L19)&gt;0),
       IF(M13&lt;&gt;1, "Total not 100%.", "OK"), "OK")</f>
        <v>OK</v>
      </c>
    </row>
    <row r="14" spans="1:17" ht="7.5" customHeight="1" x14ac:dyDescent="0.25">
      <c r="C14" s="29"/>
      <c r="N14" s="331"/>
    </row>
    <row r="15" spans="1:17" ht="15.75" x14ac:dyDescent="0.25">
      <c r="C15" s="29"/>
      <c r="E15" s="342" t="s">
        <v>1106</v>
      </c>
      <c r="F15" s="256"/>
      <c r="G15" s="36"/>
      <c r="H15" s="204" t="s">
        <v>190</v>
      </c>
      <c r="I15" s="256"/>
      <c r="J15" s="36"/>
      <c r="K15" s="204" t="s">
        <v>99</v>
      </c>
      <c r="L15" s="256"/>
      <c r="N15" s="331"/>
    </row>
    <row r="16" spans="1:17" ht="7.5" customHeight="1" x14ac:dyDescent="0.25">
      <c r="C16" s="29"/>
      <c r="E16" s="11"/>
      <c r="F16" s="36"/>
      <c r="G16" s="36"/>
      <c r="H16" s="36"/>
      <c r="I16" s="36"/>
      <c r="J16" s="36"/>
      <c r="K16" s="36"/>
      <c r="L16" s="36"/>
      <c r="N16" s="331"/>
    </row>
    <row r="17" spans="3:16" ht="15.75" x14ac:dyDescent="0.25">
      <c r="C17" s="29"/>
      <c r="E17" s="342" t="s">
        <v>96</v>
      </c>
      <c r="F17" s="256"/>
      <c r="G17" s="36"/>
      <c r="H17" s="204" t="s">
        <v>1107</v>
      </c>
      <c r="I17" s="256"/>
      <c r="J17" s="36"/>
      <c r="K17" s="204" t="s">
        <v>100</v>
      </c>
      <c r="L17" s="256"/>
      <c r="N17" s="331"/>
    </row>
    <row r="18" spans="3:16" ht="7.5" customHeight="1" x14ac:dyDescent="0.25">
      <c r="C18" s="29"/>
      <c r="E18" s="11"/>
      <c r="F18" s="36"/>
      <c r="G18" s="36"/>
      <c r="H18" s="36"/>
      <c r="I18" s="36"/>
      <c r="J18" s="36"/>
      <c r="K18" s="36"/>
      <c r="L18" s="36"/>
      <c r="N18" s="331"/>
    </row>
    <row r="19" spans="3:16" ht="15.75" x14ac:dyDescent="0.25">
      <c r="C19" s="29"/>
      <c r="E19" s="342" t="s">
        <v>1108</v>
      </c>
      <c r="F19" s="256"/>
      <c r="G19" s="36"/>
      <c r="H19" s="204" t="s">
        <v>1109</v>
      </c>
      <c r="I19" s="256"/>
      <c r="J19" s="36"/>
      <c r="K19" s="204" t="s">
        <v>78</v>
      </c>
      <c r="L19" s="256"/>
      <c r="N19" s="331"/>
    </row>
    <row r="20" spans="3:16" ht="7.5" customHeight="1" x14ac:dyDescent="0.25">
      <c r="C20" s="29"/>
      <c r="E20" s="11"/>
      <c r="F20" s="36"/>
      <c r="G20" s="36"/>
      <c r="H20" s="36"/>
      <c r="I20" s="36"/>
      <c r="J20" s="36"/>
      <c r="K20" s="36"/>
      <c r="L20" s="36"/>
      <c r="N20" s="331"/>
    </row>
    <row r="21" spans="3:16" ht="15.75" x14ac:dyDescent="0.25">
      <c r="C21" s="29"/>
      <c r="E21" s="342" t="s">
        <v>97</v>
      </c>
      <c r="F21" s="256"/>
      <c r="G21" s="36"/>
      <c r="H21" s="204" t="s">
        <v>98</v>
      </c>
      <c r="I21" s="256"/>
      <c r="J21" s="36"/>
      <c r="K21" s="36"/>
      <c r="L21" s="36"/>
      <c r="N21" s="331"/>
    </row>
    <row r="22" spans="3:16" ht="3.95" customHeight="1" x14ac:dyDescent="0.25">
      <c r="C22" s="29"/>
      <c r="N22" s="331"/>
    </row>
    <row r="23" spans="3:16" ht="3.95" customHeight="1" x14ac:dyDescent="0.25">
      <c r="C23" s="29"/>
      <c r="D23" s="340"/>
      <c r="E23" s="340"/>
      <c r="F23" s="340"/>
      <c r="G23" s="340"/>
      <c r="H23" s="340"/>
      <c r="I23" s="340"/>
      <c r="J23" s="340"/>
      <c r="K23" s="340"/>
      <c r="L23" s="340"/>
      <c r="M23" s="340"/>
      <c r="N23" s="331"/>
    </row>
    <row r="24" spans="3:16" ht="3.95" customHeight="1" x14ac:dyDescent="0.25">
      <c r="C24" s="29"/>
      <c r="D24" s="7"/>
      <c r="G24" s="7"/>
      <c r="J24" s="7"/>
      <c r="L24" s="7"/>
      <c r="N24" s="331"/>
    </row>
    <row r="25" spans="3:16" ht="18.75" customHeight="1" x14ac:dyDescent="0.25">
      <c r="C25" s="29"/>
      <c r="D25" s="341" t="s">
        <v>1110</v>
      </c>
      <c r="E25" s="343"/>
      <c r="H25" s="231" t="str">
        <f>IF($I$21=0, "Please skip this section.", "Should sum to 100%!")</f>
        <v>Please skip this section.</v>
      </c>
      <c r="L25" s="197" t="s">
        <v>65</v>
      </c>
      <c r="M25" s="274" t="str">
        <f>IF( COUNT(F27,I27,L27,F29)&gt;0,
       SUM(F27,I27,L27,F29), "")</f>
        <v/>
      </c>
      <c r="N25" s="331"/>
      <c r="P25" s="286" t="str">
        <f>IF(AND(H25&lt;&gt;"Please skip this section.", COUNT(F27,I27,L27,F29)&gt;0),
       IF(M25&lt;&gt;1, "Total not 100%.", "OK"), "OK")</f>
        <v>OK</v>
      </c>
    </row>
    <row r="26" spans="3:16" ht="7.5" customHeight="1" x14ac:dyDescent="0.25">
      <c r="C26" s="29"/>
      <c r="E26" s="11"/>
      <c r="N26" s="331"/>
    </row>
    <row r="27" spans="3:16" ht="15.75" x14ac:dyDescent="0.25">
      <c r="C27" s="29"/>
      <c r="E27" s="276" t="s">
        <v>1111</v>
      </c>
      <c r="F27" s="256"/>
      <c r="G27" s="36"/>
      <c r="H27" s="276" t="s">
        <v>101</v>
      </c>
      <c r="I27" s="256"/>
      <c r="J27" s="36"/>
      <c r="K27" s="276" t="s">
        <v>102</v>
      </c>
      <c r="L27" s="256"/>
      <c r="N27" s="331"/>
    </row>
    <row r="28" spans="3:16" ht="7.5" customHeight="1" x14ac:dyDescent="0.25">
      <c r="C28" s="29"/>
      <c r="E28" s="344"/>
      <c r="F28" s="36"/>
      <c r="G28" s="36"/>
      <c r="H28" s="36"/>
      <c r="I28" s="36"/>
      <c r="J28" s="36"/>
      <c r="K28" s="36"/>
      <c r="L28" s="36"/>
      <c r="N28" s="331"/>
    </row>
    <row r="29" spans="3:16" ht="15.75" x14ac:dyDescent="0.25">
      <c r="C29" s="29"/>
      <c r="E29" s="276" t="s">
        <v>78</v>
      </c>
      <c r="F29" s="256"/>
      <c r="G29" s="36"/>
      <c r="H29" s="36"/>
      <c r="I29" s="36"/>
      <c r="J29" s="36"/>
      <c r="K29" s="36"/>
      <c r="L29" s="36"/>
      <c r="N29" s="331"/>
    </row>
    <row r="30" spans="3:16" ht="3.95" customHeight="1" x14ac:dyDescent="0.25">
      <c r="C30" s="29"/>
      <c r="N30" s="331"/>
    </row>
    <row r="31" spans="3:16" ht="3.95" customHeight="1" x14ac:dyDescent="0.25">
      <c r="C31" s="29"/>
      <c r="D31" s="340"/>
      <c r="E31" s="340"/>
      <c r="F31" s="340"/>
      <c r="G31" s="340"/>
      <c r="H31" s="340"/>
      <c r="I31" s="340"/>
      <c r="J31" s="340"/>
      <c r="K31" s="340"/>
      <c r="L31" s="340"/>
      <c r="M31" s="340"/>
      <c r="N31" s="331"/>
    </row>
    <row r="32" spans="3:16" ht="3.95" customHeight="1" x14ac:dyDescent="0.25">
      <c r="C32" s="29"/>
      <c r="D32" s="7"/>
      <c r="G32" s="7"/>
      <c r="J32" s="7"/>
      <c r="L32" s="7"/>
      <c r="N32" s="331"/>
    </row>
    <row r="33" spans="3:16" ht="18.75" customHeight="1" x14ac:dyDescent="0.25">
      <c r="C33" s="29"/>
      <c r="D33" s="341" t="s">
        <v>1112</v>
      </c>
      <c r="E33" s="343"/>
      <c r="H33" s="231" t="str">
        <f>IF($L$15=0, "Please skip this section.", "Should sum to 100%!")</f>
        <v>Please skip this section.</v>
      </c>
      <c r="L33" s="197" t="s">
        <v>65</v>
      </c>
      <c r="M33" s="274" t="str">
        <f>IF( COUNT(F35,I35,L35,F37,I37)&gt;0,
       SUM(F35,I35,L35,F37,I37), "")</f>
        <v/>
      </c>
      <c r="N33" s="331"/>
      <c r="P33" s="286" t="str">
        <f>IF(AND(H33&lt;&gt;"Please skip this section.", COUNT(F35,I35,L35,F37,I37)&gt;0),
       IF(M33&lt;&gt;1, "Total not 100%.", "OK"), "OK")</f>
        <v>OK</v>
      </c>
    </row>
    <row r="34" spans="3:16" ht="7.5" customHeight="1" x14ac:dyDescent="0.25">
      <c r="C34" s="29"/>
      <c r="E34" s="11"/>
      <c r="N34" s="331"/>
    </row>
    <row r="35" spans="3:16" ht="15.75" x14ac:dyDescent="0.25">
      <c r="C35" s="29"/>
      <c r="E35" s="276" t="s">
        <v>103</v>
      </c>
      <c r="F35" s="256"/>
      <c r="G35" s="36"/>
      <c r="H35" s="276" t="s">
        <v>104</v>
      </c>
      <c r="I35" s="256"/>
      <c r="J35" s="36"/>
      <c r="K35" s="276" t="s">
        <v>105</v>
      </c>
      <c r="L35" s="256"/>
      <c r="N35" s="331"/>
    </row>
    <row r="36" spans="3:16" ht="7.5" customHeight="1" x14ac:dyDescent="0.25">
      <c r="C36" s="29"/>
      <c r="E36" s="11"/>
      <c r="F36" s="36"/>
      <c r="G36" s="36"/>
      <c r="H36" s="36"/>
      <c r="I36" s="36"/>
      <c r="J36" s="36"/>
      <c r="K36" s="36"/>
      <c r="L36" s="36"/>
      <c r="N36" s="331"/>
    </row>
    <row r="37" spans="3:16" ht="15.75" x14ac:dyDescent="0.25">
      <c r="C37" s="29"/>
      <c r="E37" s="276" t="s">
        <v>1113</v>
      </c>
      <c r="F37" s="256"/>
      <c r="G37" s="36"/>
      <c r="H37" s="276" t="s">
        <v>78</v>
      </c>
      <c r="I37" s="256"/>
      <c r="J37" s="36"/>
      <c r="K37" s="36"/>
      <c r="L37" s="36"/>
      <c r="N37" s="331"/>
    </row>
    <row r="38" spans="3:16" ht="3.95" customHeight="1" x14ac:dyDescent="0.25">
      <c r="C38" s="29"/>
      <c r="N38" s="331"/>
    </row>
    <row r="39" spans="3:16" ht="3.95" customHeight="1" x14ac:dyDescent="0.25">
      <c r="C39" s="29"/>
      <c r="D39" s="340"/>
      <c r="E39" s="340"/>
      <c r="F39" s="340"/>
      <c r="G39" s="340"/>
      <c r="H39" s="340"/>
      <c r="I39" s="340"/>
      <c r="J39" s="340"/>
      <c r="K39" s="340"/>
      <c r="L39" s="340"/>
      <c r="M39" s="340"/>
      <c r="N39" s="331"/>
    </row>
    <row r="40" spans="3:16" ht="3.95" customHeight="1" x14ac:dyDescent="0.25">
      <c r="C40" s="29"/>
      <c r="D40" s="7"/>
      <c r="G40" s="7"/>
      <c r="J40" s="7"/>
      <c r="L40" s="7"/>
      <c r="N40" s="331"/>
    </row>
    <row r="41" spans="3:16" ht="18.75" customHeight="1" x14ac:dyDescent="0.25">
      <c r="C41" s="29"/>
      <c r="D41" s="341" t="s">
        <v>1114</v>
      </c>
      <c r="H41" s="231" t="str">
        <f>IF($L$17=0, "Please skip this section.", "Should sum to 100%!")</f>
        <v>Please skip this section.</v>
      </c>
      <c r="L41" s="197" t="s">
        <v>65</v>
      </c>
      <c r="M41" s="274" t="str">
        <f>IF( COUNT(F43,I43,L43,F45)&gt;0,
       SUM(F43,I43,L43,F45), "")</f>
        <v/>
      </c>
      <c r="N41" s="331"/>
      <c r="P41" s="286" t="str">
        <f>IF(AND(H41&lt;&gt;"Please skip this section.", COUNT(F43,I43,L43,F45)&gt;0),
       IF(M41&lt;&gt;1, "Total not 100%.", "OK"), "OK")</f>
        <v>OK</v>
      </c>
    </row>
    <row r="42" spans="3:16" ht="7.5" customHeight="1" x14ac:dyDescent="0.25">
      <c r="C42" s="29"/>
      <c r="E42" s="11"/>
      <c r="N42" s="331"/>
    </row>
    <row r="43" spans="3:16" ht="15.75" x14ac:dyDescent="0.25">
      <c r="C43" s="29"/>
      <c r="E43" s="276" t="s">
        <v>106</v>
      </c>
      <c r="F43" s="256"/>
      <c r="G43" s="36"/>
      <c r="H43" s="276" t="s">
        <v>107</v>
      </c>
      <c r="I43" s="256"/>
      <c r="J43" s="36"/>
      <c r="K43" s="276" t="s">
        <v>1115</v>
      </c>
      <c r="L43" s="256"/>
      <c r="N43" s="331"/>
    </row>
    <row r="44" spans="3:16" ht="7.5" customHeight="1" x14ac:dyDescent="0.25">
      <c r="C44" s="29"/>
      <c r="E44" s="11"/>
      <c r="F44" s="36"/>
      <c r="G44" s="36"/>
      <c r="H44" s="36"/>
      <c r="I44" s="36"/>
      <c r="J44" s="36"/>
      <c r="K44" s="36"/>
      <c r="L44" s="36"/>
      <c r="N44" s="331"/>
    </row>
    <row r="45" spans="3:16" ht="15.75" x14ac:dyDescent="0.25">
      <c r="C45" s="29"/>
      <c r="E45" s="276" t="s">
        <v>78</v>
      </c>
      <c r="F45" s="256"/>
      <c r="G45" s="36"/>
      <c r="H45" s="36"/>
      <c r="I45" s="36"/>
      <c r="J45" s="36"/>
      <c r="K45" s="36"/>
      <c r="L45" s="36"/>
      <c r="N45" s="331"/>
    </row>
    <row r="46" spans="3:16" ht="3.95" customHeight="1" x14ac:dyDescent="0.25">
      <c r="C46" s="29"/>
      <c r="E46" s="11"/>
      <c r="N46" s="331"/>
    </row>
    <row r="47" spans="3:16" ht="3.95" customHeight="1" x14ac:dyDescent="0.25">
      <c r="C47" s="29"/>
      <c r="N47" s="331"/>
    </row>
    <row r="48" spans="3:16" ht="3.95" customHeight="1" x14ac:dyDescent="0.25">
      <c r="C48" s="29"/>
      <c r="D48" s="327"/>
      <c r="E48" s="327"/>
      <c r="F48" s="327"/>
      <c r="G48" s="327"/>
      <c r="H48" s="327"/>
      <c r="I48" s="327"/>
      <c r="J48" s="327"/>
      <c r="K48" s="327"/>
      <c r="L48" s="327"/>
      <c r="M48" s="327"/>
      <c r="N48" s="331"/>
    </row>
    <row r="49" spans="3:16" ht="18.75" x14ac:dyDescent="0.3">
      <c r="C49" s="29"/>
      <c r="D49" s="196" t="s">
        <v>1116</v>
      </c>
      <c r="H49" s="231" t="str">
        <f>IF('Revenue Details'!$H$13=0, "Please skip this section if your firm has no water/wastewater revenue.", "Should sum to 100%!")</f>
        <v>Please skip this section if your firm has no water/wastewater revenue.</v>
      </c>
      <c r="L49" s="197" t="s">
        <v>65</v>
      </c>
      <c r="M49" s="274" t="str">
        <f>IF( COUNT(F51,I51,L51,F53,I53)&gt;0,
       SUM(F51,I51,L51,F53,I53), "")</f>
        <v/>
      </c>
      <c r="N49" s="331"/>
      <c r="P49" s="286" t="str">
        <f>IF(AND(H49&lt;&gt;"Please skip this section if your firm has no environmental revenue.", COUNT(F51,I51,L51,F53,I53)&gt;0),
       IF(M49&lt;&gt;1, "Total not 100%.", "OK"), "OK")</f>
        <v>OK</v>
      </c>
    </row>
    <row r="50" spans="3:16" ht="7.5" customHeight="1" x14ac:dyDescent="0.25">
      <c r="C50" s="29"/>
      <c r="N50" s="331"/>
    </row>
    <row r="51" spans="3:16" ht="15.75" x14ac:dyDescent="0.25">
      <c r="C51" s="29"/>
      <c r="E51" s="342" t="s">
        <v>109</v>
      </c>
      <c r="F51" s="256"/>
      <c r="G51" s="36"/>
      <c r="H51" s="204" t="s">
        <v>110</v>
      </c>
      <c r="I51" s="256"/>
      <c r="J51" s="36"/>
      <c r="K51" s="204" t="s">
        <v>111</v>
      </c>
      <c r="L51" s="256"/>
      <c r="N51" s="331"/>
    </row>
    <row r="52" spans="3:16" ht="7.5" customHeight="1" x14ac:dyDescent="0.25">
      <c r="C52" s="29"/>
      <c r="F52" s="36"/>
      <c r="G52" s="36"/>
      <c r="H52" s="36"/>
      <c r="I52" s="36"/>
      <c r="J52" s="36"/>
      <c r="K52" s="36"/>
      <c r="L52" s="36"/>
      <c r="N52" s="331"/>
    </row>
    <row r="53" spans="3:16" ht="15.75" x14ac:dyDescent="0.25">
      <c r="C53" s="29"/>
      <c r="E53" s="342" t="s">
        <v>108</v>
      </c>
      <c r="F53" s="256"/>
      <c r="G53" s="36"/>
      <c r="H53" s="204" t="s">
        <v>78</v>
      </c>
      <c r="I53" s="256"/>
      <c r="J53" s="36"/>
      <c r="K53" s="36"/>
      <c r="L53" s="36"/>
      <c r="N53" s="331"/>
    </row>
    <row r="54" spans="3:16" ht="3.95" customHeight="1" x14ac:dyDescent="0.25">
      <c r="C54" s="29"/>
      <c r="E54" s="11"/>
      <c r="N54" s="331"/>
    </row>
    <row r="55" spans="3:16" ht="3.95" customHeight="1" x14ac:dyDescent="0.25">
      <c r="C55" s="29"/>
      <c r="N55" s="331"/>
    </row>
    <row r="56" spans="3:16" ht="3.95" customHeight="1" x14ac:dyDescent="0.25">
      <c r="C56" s="29"/>
      <c r="D56" s="327"/>
      <c r="E56" s="327"/>
      <c r="F56" s="327"/>
      <c r="G56" s="327"/>
      <c r="H56" s="327"/>
      <c r="I56" s="327"/>
      <c r="J56" s="327"/>
      <c r="K56" s="327"/>
      <c r="L56" s="327"/>
      <c r="M56" s="327"/>
      <c r="N56" s="331"/>
    </row>
    <row r="57" spans="3:16" ht="18.75" x14ac:dyDescent="0.3">
      <c r="C57" s="29"/>
      <c r="D57" s="196" t="s">
        <v>1117</v>
      </c>
      <c r="H57" s="231" t="str">
        <f>IF('Revenue Details'!E15=0, "Please skip this section if your firm has no power revenue.", "Should sum to 100%!")</f>
        <v>Please skip this section if your firm has no power revenue.</v>
      </c>
      <c r="L57" s="197" t="s">
        <v>65</v>
      </c>
      <c r="M57" s="274" t="str">
        <f>IF( COUNT(F59,I59,L59,F61,I61)&gt;0,
       SUM(F59,I59,L59,F61,I61), "")</f>
        <v/>
      </c>
      <c r="N57" s="331"/>
      <c r="P57" s="286" t="str">
        <f>IF(AND(H57&lt;&gt;"Please skip this section if your firm has no environmental revenue.", COUNT(F59,I59,L59,F61,I61)&gt;0),
       IF(M57&lt;&gt;1, "Total not 100%.", "OK"), "OK")</f>
        <v>OK</v>
      </c>
    </row>
    <row r="58" spans="3:16" ht="7.5" customHeight="1" x14ac:dyDescent="0.25">
      <c r="C58" s="29"/>
      <c r="N58" s="331"/>
    </row>
    <row r="59" spans="3:16" ht="15.75" x14ac:dyDescent="0.25">
      <c r="C59" s="29"/>
      <c r="E59" s="342" t="s">
        <v>1119</v>
      </c>
      <c r="F59" s="256"/>
      <c r="G59" s="36"/>
      <c r="H59" s="204" t="s">
        <v>1120</v>
      </c>
      <c r="I59" s="256"/>
      <c r="J59" s="36"/>
      <c r="K59" s="204" t="s">
        <v>112</v>
      </c>
      <c r="L59" s="256"/>
      <c r="N59" s="331"/>
    </row>
    <row r="60" spans="3:16" ht="7.5" customHeight="1" x14ac:dyDescent="0.25">
      <c r="C60" s="29"/>
      <c r="F60" s="36"/>
      <c r="G60" s="36"/>
      <c r="H60" s="36"/>
      <c r="I60" s="36"/>
      <c r="J60" s="36"/>
      <c r="K60" s="36"/>
      <c r="L60" s="36"/>
      <c r="N60" s="331"/>
    </row>
    <row r="61" spans="3:16" ht="15.75" x14ac:dyDescent="0.25">
      <c r="C61" s="29"/>
      <c r="E61" s="342" t="s">
        <v>113</v>
      </c>
      <c r="F61" s="256"/>
      <c r="G61" s="36"/>
      <c r="H61" s="204" t="s">
        <v>78</v>
      </c>
      <c r="I61" s="256"/>
      <c r="J61" s="36"/>
      <c r="K61" s="36"/>
      <c r="L61" s="36"/>
      <c r="N61" s="331"/>
    </row>
    <row r="62" spans="3:16" ht="3.95" customHeight="1" x14ac:dyDescent="0.25">
      <c r="C62" s="29"/>
      <c r="N62" s="331"/>
    </row>
    <row r="63" spans="3:16" ht="3.95" customHeight="1" x14ac:dyDescent="0.25">
      <c r="C63" s="29"/>
      <c r="D63" s="340"/>
      <c r="E63" s="340"/>
      <c r="F63" s="340"/>
      <c r="G63" s="340"/>
      <c r="H63" s="340"/>
      <c r="I63" s="340"/>
      <c r="J63" s="340"/>
      <c r="K63" s="340"/>
      <c r="L63" s="340"/>
      <c r="M63" s="340"/>
      <c r="N63" s="331"/>
    </row>
    <row r="64" spans="3:16" ht="3.95" customHeight="1" x14ac:dyDescent="0.25">
      <c r="C64" s="29"/>
      <c r="D64" s="7"/>
      <c r="G64" s="7"/>
      <c r="J64" s="7"/>
      <c r="L64" s="7"/>
      <c r="N64" s="331"/>
    </row>
    <row r="65" spans="3:16" ht="18.75" customHeight="1" x14ac:dyDescent="0.25">
      <c r="C65" s="29"/>
      <c r="D65" s="341" t="s">
        <v>1118</v>
      </c>
      <c r="H65" s="231" t="str">
        <f>IF($F$59=0, "Please skip this section.", "Should sum to 100%!")</f>
        <v>Please skip this section.</v>
      </c>
      <c r="L65" s="197" t="s">
        <v>65</v>
      </c>
      <c r="M65" s="274" t="str">
        <f>IF( COUNT(F67,I67,L67,F69)&gt;0,
       SUM(F67,I67,L67,F69), "")</f>
        <v/>
      </c>
      <c r="N65" s="331"/>
      <c r="P65" s="286" t="str">
        <f>IF(AND(H65&lt;&gt;"Please skip this section.", COUNT(F67,I67,L67,F69)&gt;0),
       IF(M65&lt;&gt;1, "Total not 100%.", "OK"), "OK")</f>
        <v>OK</v>
      </c>
    </row>
    <row r="66" spans="3:16" ht="7.5" customHeight="1" x14ac:dyDescent="0.25">
      <c r="C66" s="29"/>
      <c r="E66" s="11"/>
      <c r="N66" s="331"/>
    </row>
    <row r="67" spans="3:16" ht="15.75" x14ac:dyDescent="0.25">
      <c r="C67" s="29"/>
      <c r="E67" s="276" t="s">
        <v>1121</v>
      </c>
      <c r="F67" s="256"/>
      <c r="G67" s="36"/>
      <c r="H67" s="276" t="s">
        <v>1122</v>
      </c>
      <c r="I67" s="256"/>
      <c r="J67" s="36"/>
      <c r="K67" s="276" t="s">
        <v>1123</v>
      </c>
      <c r="L67" s="256"/>
      <c r="N67" s="331"/>
    </row>
    <row r="68" spans="3:16" ht="7.5" customHeight="1" x14ac:dyDescent="0.25">
      <c r="C68" s="29"/>
      <c r="E68" s="344"/>
      <c r="F68" s="36"/>
      <c r="G68" s="36"/>
      <c r="H68" s="36"/>
      <c r="I68" s="36"/>
      <c r="J68" s="36"/>
      <c r="K68" s="36"/>
      <c r="L68" s="36"/>
      <c r="N68" s="331"/>
    </row>
    <row r="69" spans="3:16" ht="15.75" x14ac:dyDescent="0.25">
      <c r="C69" s="29"/>
      <c r="E69" s="276" t="s">
        <v>78</v>
      </c>
      <c r="F69" s="256"/>
      <c r="G69" s="36"/>
      <c r="H69" s="36"/>
      <c r="I69" s="36"/>
      <c r="J69" s="36"/>
      <c r="K69" s="36"/>
      <c r="L69" s="36"/>
      <c r="N69" s="331"/>
    </row>
    <row r="70" spans="3:16" ht="3.95" customHeight="1" x14ac:dyDescent="0.25">
      <c r="C70" s="29"/>
      <c r="N70" s="331"/>
    </row>
    <row r="71" spans="3:16" ht="3.95" customHeight="1" x14ac:dyDescent="0.25">
      <c r="C71" s="29"/>
      <c r="D71" s="340"/>
      <c r="E71" s="340"/>
      <c r="F71" s="340"/>
      <c r="G71" s="340"/>
      <c r="H71" s="340"/>
      <c r="I71" s="340"/>
      <c r="J71" s="340"/>
      <c r="K71" s="340"/>
      <c r="L71" s="340"/>
      <c r="M71" s="340"/>
      <c r="N71" s="331"/>
    </row>
    <row r="72" spans="3:16" ht="3.95" customHeight="1" x14ac:dyDescent="0.25">
      <c r="C72" s="29"/>
      <c r="D72" s="7"/>
      <c r="G72" s="7"/>
      <c r="J72" s="7"/>
      <c r="L72" s="7"/>
      <c r="N72" s="331"/>
    </row>
    <row r="73" spans="3:16" ht="18.75" customHeight="1" x14ac:dyDescent="0.25">
      <c r="C73" s="29"/>
      <c r="D73" s="341" t="s">
        <v>1124</v>
      </c>
      <c r="H73" s="231" t="str">
        <f>IF($I$59=0, "Please skip this section.", "Should sum to 100%!")</f>
        <v>Please skip this section.</v>
      </c>
      <c r="L73" s="197" t="s">
        <v>65</v>
      </c>
      <c r="M73" s="274" t="str">
        <f>IF( COUNT(F75,I75,L75,F77,I77,L77)&gt;0,
       SUM(F75,I75,L75,F77,I77,L77), "")</f>
        <v/>
      </c>
      <c r="N73" s="331"/>
      <c r="P73" s="286" t="str">
        <f>IF(AND(H73&lt;&gt;"Please skip this section.", COUNT(F75,I75,L75,F77,I77,L77)&gt;0),
       IF(M73&lt;&gt;1, "Total not 100%.", "OK"), "OK")</f>
        <v>OK</v>
      </c>
    </row>
    <row r="74" spans="3:16" ht="7.5" customHeight="1" x14ac:dyDescent="0.25">
      <c r="C74" s="29"/>
      <c r="E74" s="11"/>
      <c r="N74" s="331"/>
    </row>
    <row r="75" spans="3:16" ht="15.75" x14ac:dyDescent="0.25">
      <c r="C75" s="29"/>
      <c r="E75" s="276" t="s">
        <v>114</v>
      </c>
      <c r="F75" s="256"/>
      <c r="G75" s="36"/>
      <c r="H75" s="276" t="s">
        <v>115</v>
      </c>
      <c r="I75" s="256"/>
      <c r="J75" s="36"/>
      <c r="K75" s="276" t="s">
        <v>116</v>
      </c>
      <c r="L75" s="256"/>
      <c r="N75" s="331"/>
    </row>
    <row r="76" spans="3:16" ht="7.5" customHeight="1" x14ac:dyDescent="0.25">
      <c r="C76" s="29"/>
      <c r="E76" s="344"/>
      <c r="F76" s="36"/>
      <c r="G76" s="36"/>
      <c r="H76" s="36"/>
      <c r="I76" s="36"/>
      <c r="J76" s="36"/>
      <c r="K76" s="36"/>
      <c r="L76" s="36"/>
      <c r="N76" s="331"/>
    </row>
    <row r="77" spans="3:16" ht="15.75" x14ac:dyDescent="0.25">
      <c r="C77" s="29"/>
      <c r="E77" s="276" t="s">
        <v>117</v>
      </c>
      <c r="F77" s="256"/>
      <c r="G77" s="36"/>
      <c r="H77" s="276" t="s">
        <v>118</v>
      </c>
      <c r="I77" s="256"/>
      <c r="J77" s="36"/>
      <c r="K77" s="276" t="s">
        <v>78</v>
      </c>
      <c r="L77" s="256"/>
      <c r="N77" s="331"/>
    </row>
    <row r="78" spans="3:16" ht="3.95" customHeight="1" x14ac:dyDescent="0.25">
      <c r="C78" s="29"/>
      <c r="N78" s="331"/>
    </row>
    <row r="79" spans="3:16" ht="3.95" customHeight="1" x14ac:dyDescent="0.25">
      <c r="C79" s="29"/>
      <c r="D79" s="340"/>
      <c r="E79" s="340"/>
      <c r="F79" s="340"/>
      <c r="G79" s="340"/>
      <c r="H79" s="340"/>
      <c r="I79" s="340"/>
      <c r="J79" s="340"/>
      <c r="K79" s="340"/>
      <c r="L79" s="340"/>
      <c r="M79" s="340"/>
      <c r="N79" s="331"/>
    </row>
    <row r="80" spans="3:16" ht="3.95" customHeight="1" x14ac:dyDescent="0.25">
      <c r="C80" s="29"/>
      <c r="D80" s="7"/>
      <c r="G80" s="7"/>
      <c r="J80" s="7"/>
      <c r="L80" s="7"/>
      <c r="N80" s="331"/>
    </row>
    <row r="81" spans="3:16" ht="18.75" customHeight="1" x14ac:dyDescent="0.25">
      <c r="C81" s="29"/>
      <c r="D81" s="341" t="s">
        <v>1125</v>
      </c>
      <c r="H81" s="231" t="str">
        <f>IF($L$59=0, "Please skip this section.", "Should sum to 100%!")</f>
        <v>Please skip this section.</v>
      </c>
      <c r="L81" s="197" t="s">
        <v>65</v>
      </c>
      <c r="M81" s="274" t="str">
        <f>IF( COUNT(F83,I83,L83,F85,I85)&gt;0,
       SUM(F83,I83,L83,F85,I85), "")</f>
        <v/>
      </c>
      <c r="N81" s="331"/>
      <c r="P81" s="286" t="str">
        <f>IF(AND(H81&lt;&gt;"Please skip this section.", COUNT(F83,I83,L83,F85,I85)&gt;0),
       IF(M81&lt;&gt;1, "Total not 100%.", "OK"), "OK")</f>
        <v>OK</v>
      </c>
    </row>
    <row r="82" spans="3:16" ht="7.5" customHeight="1" x14ac:dyDescent="0.25">
      <c r="C82" s="29"/>
      <c r="E82" s="11"/>
      <c r="N82" s="331"/>
    </row>
    <row r="83" spans="3:16" ht="15.75" x14ac:dyDescent="0.25">
      <c r="C83" s="29"/>
      <c r="E83" s="276" t="s">
        <v>119</v>
      </c>
      <c r="F83" s="256"/>
      <c r="G83" s="36"/>
      <c r="H83" s="276" t="s">
        <v>120</v>
      </c>
      <c r="I83" s="256"/>
      <c r="J83" s="36"/>
      <c r="K83" s="276" t="s">
        <v>121</v>
      </c>
      <c r="L83" s="256"/>
      <c r="N83" s="331"/>
    </row>
    <row r="84" spans="3:16" ht="7.5" customHeight="1" x14ac:dyDescent="0.25">
      <c r="C84" s="29"/>
      <c r="E84" s="344"/>
      <c r="F84" s="36"/>
      <c r="G84" s="36"/>
      <c r="H84" s="36"/>
      <c r="I84" s="36"/>
      <c r="J84" s="36"/>
      <c r="K84" s="36"/>
      <c r="L84" s="36"/>
      <c r="N84" s="331"/>
    </row>
    <row r="85" spans="3:16" ht="15.75" x14ac:dyDescent="0.25">
      <c r="C85" s="29"/>
      <c r="E85" s="276" t="s">
        <v>122</v>
      </c>
      <c r="F85" s="256"/>
      <c r="G85" s="36"/>
      <c r="H85" s="276" t="s">
        <v>78</v>
      </c>
      <c r="I85" s="256"/>
      <c r="J85" s="36"/>
      <c r="K85" s="36"/>
      <c r="L85" s="36"/>
      <c r="N85" s="331"/>
    </row>
    <row r="86" spans="3:16" ht="3.95" customHeight="1" x14ac:dyDescent="0.25">
      <c r="C86" s="29"/>
      <c r="N86" s="331"/>
    </row>
    <row r="87" spans="3:16" ht="3.95" customHeight="1" x14ac:dyDescent="0.25">
      <c r="C87" s="29"/>
      <c r="D87" s="340"/>
      <c r="E87" s="340"/>
      <c r="F87" s="340"/>
      <c r="G87" s="340"/>
      <c r="H87" s="340"/>
      <c r="I87" s="340"/>
      <c r="J87" s="340"/>
      <c r="K87" s="340"/>
      <c r="L87" s="340"/>
      <c r="M87" s="340"/>
      <c r="N87" s="331"/>
    </row>
    <row r="88" spans="3:16" ht="3.95" customHeight="1" x14ac:dyDescent="0.25">
      <c r="C88" s="29"/>
      <c r="D88" s="7"/>
      <c r="G88" s="7"/>
      <c r="J88" s="7"/>
      <c r="L88" s="7"/>
      <c r="N88" s="331"/>
    </row>
    <row r="89" spans="3:16" ht="18.75" customHeight="1" x14ac:dyDescent="0.25">
      <c r="C89" s="29"/>
      <c r="D89" s="341" t="s">
        <v>1126</v>
      </c>
      <c r="H89" s="231" t="str">
        <f>IF($F$61=0, "Please skip this section.", "Should sum to 100%!")</f>
        <v>Please skip this section.</v>
      </c>
      <c r="L89" s="197" t="s">
        <v>65</v>
      </c>
      <c r="M89" s="274" t="str">
        <f>IF( COUNT(F91,I91,L91,F93,I93)&gt;0,
       SUM(F91,I91,L91,F93,I93), "")</f>
        <v/>
      </c>
      <c r="N89" s="331"/>
      <c r="P89" s="286" t="str">
        <f>IF(AND(H89&lt;&gt;"Please skip this section.", COUNT(F91,I91,L91,F93,I93)&gt;0),
       IF(M89&lt;&gt;1, "Total not 100%.", "OK"), "OK")</f>
        <v>OK</v>
      </c>
    </row>
    <row r="90" spans="3:16" ht="7.5" customHeight="1" x14ac:dyDescent="0.25">
      <c r="C90" s="29"/>
      <c r="E90" s="11"/>
      <c r="N90" s="331"/>
    </row>
    <row r="91" spans="3:16" ht="15.75" x14ac:dyDescent="0.25">
      <c r="C91" s="29"/>
      <c r="E91" s="276" t="s">
        <v>1127</v>
      </c>
      <c r="F91" s="256"/>
      <c r="G91" s="36"/>
      <c r="H91" s="276" t="s">
        <v>1128</v>
      </c>
      <c r="I91" s="256"/>
      <c r="J91" s="36"/>
      <c r="K91" s="276" t="s">
        <v>123</v>
      </c>
      <c r="L91" s="256"/>
      <c r="N91" s="331"/>
    </row>
    <row r="92" spans="3:16" ht="7.5" customHeight="1" x14ac:dyDescent="0.25">
      <c r="C92" s="29"/>
      <c r="E92" s="344"/>
      <c r="F92" s="36"/>
      <c r="G92" s="36"/>
      <c r="H92" s="36"/>
      <c r="I92" s="36"/>
      <c r="J92" s="36"/>
      <c r="K92" s="36"/>
      <c r="L92" s="36"/>
      <c r="N92" s="331"/>
    </row>
    <row r="93" spans="3:16" ht="15.75" x14ac:dyDescent="0.25">
      <c r="C93" s="29"/>
      <c r="E93" s="276" t="s">
        <v>1129</v>
      </c>
      <c r="F93" s="256"/>
      <c r="G93" s="36"/>
      <c r="H93" s="276" t="s">
        <v>78</v>
      </c>
      <c r="I93" s="256"/>
      <c r="J93" s="36"/>
      <c r="K93" s="36"/>
      <c r="L93" s="36"/>
      <c r="N93" s="331"/>
    </row>
    <row r="94" spans="3:16" ht="3.95" customHeight="1" x14ac:dyDescent="0.25">
      <c r="C94" s="29"/>
      <c r="E94" s="11"/>
      <c r="N94" s="331"/>
    </row>
    <row r="95" spans="3:16" ht="3.95" customHeight="1" x14ac:dyDescent="0.25">
      <c r="C95" s="29"/>
      <c r="N95" s="331"/>
    </row>
    <row r="96" spans="3:16" ht="3.95" customHeight="1" x14ac:dyDescent="0.25">
      <c r="C96" s="29"/>
      <c r="D96" s="327"/>
      <c r="E96" s="327"/>
      <c r="F96" s="327"/>
      <c r="G96" s="327"/>
      <c r="H96" s="327"/>
      <c r="I96" s="327"/>
      <c r="J96" s="327"/>
      <c r="K96" s="327"/>
      <c r="L96" s="327"/>
      <c r="M96" s="327"/>
      <c r="N96" s="331"/>
    </row>
    <row r="97" spans="3:16" ht="18.75" x14ac:dyDescent="0.3">
      <c r="C97" s="29"/>
      <c r="D97" s="196" t="s">
        <v>1130</v>
      </c>
      <c r="H97" s="231" t="str">
        <f>IF('Revenue Details'!H15=0, "Please skip this section if your firm has no general building revenue.", "Should sum to 100%!")</f>
        <v>Please skip this section if your firm has no general building revenue.</v>
      </c>
      <c r="L97" s="197" t="s">
        <v>65</v>
      </c>
      <c r="M97" s="274" t="str">
        <f>IF( COUNT(F99,I99,L99,F101,I101,L101,F103,I103,L103,F105)&gt;0,
       SUM(F99,I99,L99,F101,I101,L101,F103,I103,L103,F105), "")</f>
        <v/>
      </c>
      <c r="N97" s="331"/>
      <c r="P97" s="286" t="str">
        <f>IF(AND(H97&lt;&gt;"Please skip this section if your firm has no environmental revenue.", COUNT(F99,I99,L99,F101,I101,L101,F103,I103,L103,F105)&gt;0),
       IF(M97&lt;&gt;1, "Total not 100%.", "OK"), "OK")</f>
        <v>OK</v>
      </c>
    </row>
    <row r="98" spans="3:16" ht="7.5" customHeight="1" x14ac:dyDescent="0.25">
      <c r="C98" s="29"/>
      <c r="N98" s="331"/>
    </row>
    <row r="99" spans="3:16" ht="15.75" x14ac:dyDescent="0.25">
      <c r="C99" s="29"/>
      <c r="E99" s="342" t="s">
        <v>124</v>
      </c>
      <c r="F99" s="256"/>
      <c r="G99" s="36"/>
      <c r="H99" s="204" t="s">
        <v>125</v>
      </c>
      <c r="I99" s="256"/>
      <c r="J99" s="36"/>
      <c r="K99" s="204" t="s">
        <v>126</v>
      </c>
      <c r="L99" s="256"/>
      <c r="N99" s="331"/>
    </row>
    <row r="100" spans="3:16" ht="7.5" customHeight="1" x14ac:dyDescent="0.25">
      <c r="C100" s="29"/>
      <c r="F100" s="36"/>
      <c r="G100" s="36"/>
      <c r="H100" s="36"/>
      <c r="I100" s="36"/>
      <c r="J100" s="36"/>
      <c r="K100" s="36"/>
      <c r="L100" s="36"/>
      <c r="N100" s="331"/>
    </row>
    <row r="101" spans="3:16" ht="15.75" x14ac:dyDescent="0.25">
      <c r="C101" s="29"/>
      <c r="E101" s="342" t="s">
        <v>127</v>
      </c>
      <c r="F101" s="256"/>
      <c r="G101" s="36"/>
      <c r="H101" s="204" t="s">
        <v>128</v>
      </c>
      <c r="I101" s="256"/>
      <c r="J101" s="36"/>
      <c r="K101" s="204" t="s">
        <v>129</v>
      </c>
      <c r="L101" s="256"/>
      <c r="N101" s="331"/>
    </row>
    <row r="102" spans="3:16" ht="7.5" customHeight="1" x14ac:dyDescent="0.25">
      <c r="C102" s="29"/>
      <c r="F102" s="36"/>
      <c r="G102" s="36"/>
      <c r="H102" s="36"/>
      <c r="I102" s="36"/>
      <c r="J102" s="36"/>
      <c r="K102" s="36"/>
      <c r="L102" s="36"/>
      <c r="N102" s="331"/>
    </row>
    <row r="103" spans="3:16" ht="15.75" x14ac:dyDescent="0.25">
      <c r="C103" s="29"/>
      <c r="E103" s="342" t="s">
        <v>130</v>
      </c>
      <c r="F103" s="256"/>
      <c r="G103" s="36"/>
      <c r="H103" s="204" t="s">
        <v>131</v>
      </c>
      <c r="I103" s="256"/>
      <c r="J103" s="36"/>
      <c r="K103" s="204" t="s">
        <v>132</v>
      </c>
      <c r="L103" s="256"/>
      <c r="N103" s="331"/>
    </row>
    <row r="104" spans="3:16" ht="7.5" customHeight="1" x14ac:dyDescent="0.25">
      <c r="C104" s="29"/>
      <c r="F104" s="36"/>
      <c r="G104" s="36"/>
      <c r="H104" s="36"/>
      <c r="I104" s="36"/>
      <c r="J104" s="36"/>
      <c r="K104" s="36"/>
      <c r="L104" s="36"/>
      <c r="N104" s="331"/>
    </row>
    <row r="105" spans="3:16" ht="15.75" x14ac:dyDescent="0.25">
      <c r="C105" s="29"/>
      <c r="E105" s="342" t="s">
        <v>78</v>
      </c>
      <c r="F105" s="256"/>
      <c r="G105" s="36"/>
      <c r="H105" s="36"/>
      <c r="I105" s="36"/>
      <c r="J105" s="36"/>
      <c r="K105" s="36"/>
      <c r="L105" s="36"/>
      <c r="N105" s="331"/>
    </row>
    <row r="106" spans="3:16" ht="3.95" customHeight="1" x14ac:dyDescent="0.25">
      <c r="C106" s="29"/>
      <c r="E106" s="11"/>
      <c r="N106" s="331"/>
    </row>
    <row r="107" spans="3:16" ht="3.95" customHeight="1" x14ac:dyDescent="0.25">
      <c r="C107" s="29"/>
      <c r="N107" s="331"/>
    </row>
    <row r="108" spans="3:16" ht="3.95" customHeight="1" x14ac:dyDescent="0.25">
      <c r="C108" s="29"/>
      <c r="D108" s="327"/>
      <c r="E108" s="327"/>
      <c r="F108" s="327"/>
      <c r="G108" s="327"/>
      <c r="H108" s="327"/>
      <c r="I108" s="327"/>
      <c r="J108" s="327"/>
      <c r="K108" s="327"/>
      <c r="L108" s="327"/>
      <c r="M108" s="327"/>
      <c r="N108" s="331"/>
    </row>
    <row r="109" spans="3:16" ht="18.75" x14ac:dyDescent="0.3">
      <c r="C109" s="29"/>
      <c r="D109" s="196" t="s">
        <v>1131</v>
      </c>
      <c r="H109" s="231" t="str">
        <f>IF('Revenue Details'!$K$13=0, "Please skip this section if your firm has no transportation revenue.", "Should sum to 100%!")</f>
        <v>Please skip this section if your firm has no transportation revenue.</v>
      </c>
      <c r="L109" s="197" t="s">
        <v>65</v>
      </c>
      <c r="M109" s="274" t="str">
        <f>IF( COUNT(F111,I111,L111,F113,I113,L113)&gt;0,
       SUM(F111,I111,L111,F113,I113,L113), "")</f>
        <v/>
      </c>
      <c r="N109" s="331"/>
      <c r="P109" s="286" t="str">
        <f>IF(AND(H109&lt;&gt;"Please skip this section.", COUNT(F111,I111,L111,F113,I113,L113)&gt;0),
       IF(M109&lt;&gt;1, "Total not 100%.", "OK"), "OK")</f>
        <v>OK</v>
      </c>
    </row>
    <row r="110" spans="3:16" ht="7.5" customHeight="1" x14ac:dyDescent="0.25">
      <c r="C110" s="29"/>
      <c r="N110" s="331"/>
    </row>
    <row r="111" spans="3:16" ht="15.75" x14ac:dyDescent="0.25">
      <c r="C111" s="29"/>
      <c r="E111" s="342" t="s">
        <v>133</v>
      </c>
      <c r="F111" s="256"/>
      <c r="G111" s="36"/>
      <c r="H111" s="204" t="s">
        <v>134</v>
      </c>
      <c r="I111" s="256"/>
      <c r="J111" s="36"/>
      <c r="K111" s="204" t="s">
        <v>135</v>
      </c>
      <c r="L111" s="256"/>
      <c r="N111" s="331"/>
    </row>
    <row r="112" spans="3:16" ht="7.5" customHeight="1" x14ac:dyDescent="0.25">
      <c r="C112" s="29"/>
      <c r="F112" s="36"/>
      <c r="G112" s="36"/>
      <c r="H112" s="36"/>
      <c r="I112" s="36"/>
      <c r="J112" s="36"/>
      <c r="K112" s="36"/>
      <c r="L112" s="36"/>
      <c r="N112" s="331"/>
    </row>
    <row r="113" spans="3:16" ht="15.75" x14ac:dyDescent="0.25">
      <c r="C113" s="29"/>
      <c r="E113" s="342" t="s">
        <v>136</v>
      </c>
      <c r="F113" s="256"/>
      <c r="G113" s="36"/>
      <c r="H113" s="204" t="s">
        <v>137</v>
      </c>
      <c r="I113" s="256"/>
      <c r="J113" s="36"/>
      <c r="K113" s="204" t="s">
        <v>78</v>
      </c>
      <c r="L113" s="256"/>
      <c r="N113" s="331"/>
    </row>
    <row r="114" spans="3:16" ht="3.95" customHeight="1" x14ac:dyDescent="0.25">
      <c r="C114" s="29"/>
      <c r="N114" s="331"/>
    </row>
    <row r="115" spans="3:16" ht="3.95" customHeight="1" x14ac:dyDescent="0.25">
      <c r="C115" s="29"/>
      <c r="D115" s="340"/>
      <c r="E115" s="340"/>
      <c r="F115" s="340"/>
      <c r="G115" s="340"/>
      <c r="H115" s="340"/>
      <c r="I115" s="340"/>
      <c r="J115" s="340"/>
      <c r="K115" s="340"/>
      <c r="L115" s="340"/>
      <c r="M115" s="340"/>
      <c r="N115" s="331"/>
    </row>
    <row r="116" spans="3:16" ht="3.95" customHeight="1" x14ac:dyDescent="0.25">
      <c r="C116" s="29"/>
      <c r="D116" s="7"/>
      <c r="G116" s="7"/>
      <c r="J116" s="7"/>
      <c r="L116" s="7"/>
      <c r="N116" s="331"/>
    </row>
    <row r="117" spans="3:16" ht="18.75" customHeight="1" x14ac:dyDescent="0.25">
      <c r="C117" s="29"/>
      <c r="D117" s="341" t="s">
        <v>1132</v>
      </c>
      <c r="H117" s="231" t="str">
        <f>IF($F$111=0, "Please skip this section.", "Should sum to 100%!")</f>
        <v>Please skip this section.</v>
      </c>
      <c r="L117" s="197" t="s">
        <v>65</v>
      </c>
      <c r="M117" s="274" t="str">
        <f>IF( COUNT(F119,I119,L119,F121,I121,L121)&gt;0,
       SUM(F119,I119,L119,F121,I121,L121), "")</f>
        <v/>
      </c>
      <c r="N117" s="331"/>
      <c r="P117" s="286" t="str">
        <f>IF(AND(H117&lt;&gt;"Please skip this section.", COUNT(F119,I119,L119,F121,I121,L121)&gt;0),
       IF(M117&lt;&gt;1, "Total not 100%.", "OK"), "OK")</f>
        <v>OK</v>
      </c>
    </row>
    <row r="118" spans="3:16" ht="7.5" customHeight="1" x14ac:dyDescent="0.25">
      <c r="C118" s="29"/>
      <c r="E118" s="11"/>
      <c r="N118" s="331"/>
    </row>
    <row r="119" spans="3:16" ht="15.75" x14ac:dyDescent="0.25">
      <c r="C119" s="29"/>
      <c r="E119" s="276" t="s">
        <v>138</v>
      </c>
      <c r="F119" s="256"/>
      <c r="G119" s="36"/>
      <c r="H119" s="276" t="s">
        <v>139</v>
      </c>
      <c r="I119" s="256"/>
      <c r="J119" s="36"/>
      <c r="K119" s="276" t="s">
        <v>140</v>
      </c>
      <c r="L119" s="256"/>
      <c r="N119" s="331"/>
    </row>
    <row r="120" spans="3:16" ht="7.5" customHeight="1" x14ac:dyDescent="0.25">
      <c r="C120" s="29"/>
      <c r="E120" s="344"/>
      <c r="F120" s="36"/>
      <c r="G120" s="36"/>
      <c r="H120" s="36"/>
      <c r="I120" s="36"/>
      <c r="J120" s="36"/>
      <c r="K120" s="36"/>
      <c r="L120" s="36"/>
      <c r="N120" s="331"/>
    </row>
    <row r="121" spans="3:16" ht="15.75" x14ac:dyDescent="0.25">
      <c r="C121" s="29"/>
      <c r="E121" s="276" t="s">
        <v>141</v>
      </c>
      <c r="F121" s="256"/>
      <c r="G121" s="36"/>
      <c r="H121" s="276" t="s">
        <v>1133</v>
      </c>
      <c r="I121" s="256"/>
      <c r="J121" s="36"/>
      <c r="K121" s="276" t="s">
        <v>78</v>
      </c>
      <c r="L121" s="256"/>
      <c r="N121" s="331"/>
    </row>
    <row r="122" spans="3:16" ht="3.95" customHeight="1" x14ac:dyDescent="0.25">
      <c r="C122" s="29"/>
      <c r="N122" s="331"/>
    </row>
    <row r="123" spans="3:16" ht="3.95" customHeight="1" x14ac:dyDescent="0.25">
      <c r="C123" s="29"/>
      <c r="D123" s="340"/>
      <c r="E123" s="340"/>
      <c r="F123" s="340"/>
      <c r="G123" s="340"/>
      <c r="H123" s="340"/>
      <c r="I123" s="340"/>
      <c r="J123" s="340"/>
      <c r="K123" s="340"/>
      <c r="L123" s="340"/>
      <c r="M123" s="340"/>
      <c r="N123" s="331"/>
    </row>
    <row r="124" spans="3:16" ht="3.95" customHeight="1" x14ac:dyDescent="0.25">
      <c r="C124" s="29"/>
      <c r="D124" s="7"/>
      <c r="G124" s="7"/>
      <c r="J124" s="7"/>
      <c r="L124" s="7"/>
      <c r="N124" s="331"/>
    </row>
    <row r="125" spans="3:16" ht="18.75" customHeight="1" x14ac:dyDescent="0.25">
      <c r="C125" s="29"/>
      <c r="D125" s="341" t="s">
        <v>1134</v>
      </c>
      <c r="H125" s="231" t="str">
        <f>IF($I$111=0, "Please skip this section.", "Should sum to 100%!")</f>
        <v>Please skip this section.</v>
      </c>
      <c r="L125" s="197" t="s">
        <v>65</v>
      </c>
      <c r="M125" s="274" t="str">
        <f>IF( COUNT(F127,I127,L127,F129)&gt;0,
       SUM(F127,I127,L127,F129), "")</f>
        <v/>
      </c>
      <c r="N125" s="331"/>
      <c r="P125" s="286" t="str">
        <f>IF(AND(H125&lt;&gt;"Please skip this section.", COUNT(F127,I127,L127,F129)&gt;0),
       IF(M125&lt;&gt;1, "Total not 100%.", "OK"), "OK")</f>
        <v>OK</v>
      </c>
    </row>
    <row r="126" spans="3:16" ht="7.5" customHeight="1" x14ac:dyDescent="0.25">
      <c r="C126" s="29"/>
      <c r="E126" s="11"/>
      <c r="N126" s="331"/>
    </row>
    <row r="127" spans="3:16" ht="15.75" x14ac:dyDescent="0.25">
      <c r="C127" s="29"/>
      <c r="E127" s="276" t="s">
        <v>142</v>
      </c>
      <c r="F127" s="256"/>
      <c r="G127" s="36"/>
      <c r="H127" s="276" t="s">
        <v>143</v>
      </c>
      <c r="I127" s="256"/>
      <c r="J127" s="36"/>
      <c r="K127" s="276" t="s">
        <v>1135</v>
      </c>
      <c r="L127" s="256"/>
      <c r="N127" s="331"/>
    </row>
    <row r="128" spans="3:16" ht="7.5" customHeight="1" x14ac:dyDescent="0.25">
      <c r="C128" s="29"/>
      <c r="E128" s="344"/>
      <c r="F128" s="36"/>
      <c r="G128" s="36"/>
      <c r="H128" s="36"/>
      <c r="I128" s="36"/>
      <c r="J128" s="36"/>
      <c r="K128" s="36"/>
      <c r="L128" s="36"/>
      <c r="N128" s="331"/>
    </row>
    <row r="129" spans="3:16" ht="15.75" x14ac:dyDescent="0.25">
      <c r="C129" s="29"/>
      <c r="E129" s="276" t="s">
        <v>78</v>
      </c>
      <c r="F129" s="256"/>
      <c r="G129" s="36"/>
      <c r="H129" s="36"/>
      <c r="I129" s="36"/>
      <c r="J129" s="36"/>
      <c r="K129" s="36"/>
      <c r="L129" s="36"/>
      <c r="N129" s="331"/>
    </row>
    <row r="130" spans="3:16" ht="3.95" customHeight="1" x14ac:dyDescent="0.25">
      <c r="C130" s="29"/>
      <c r="N130" s="331"/>
    </row>
    <row r="131" spans="3:16" ht="3.95" customHeight="1" x14ac:dyDescent="0.25">
      <c r="C131" s="29"/>
      <c r="D131" s="340"/>
      <c r="E131" s="340"/>
      <c r="F131" s="340"/>
      <c r="G131" s="340"/>
      <c r="H131" s="340"/>
      <c r="I131" s="340"/>
      <c r="J131" s="340"/>
      <c r="K131" s="340"/>
      <c r="L131" s="340"/>
      <c r="M131" s="340"/>
      <c r="N131" s="331"/>
    </row>
    <row r="132" spans="3:16" ht="3.95" customHeight="1" x14ac:dyDescent="0.25">
      <c r="C132" s="29"/>
      <c r="D132" s="7"/>
      <c r="G132" s="7"/>
      <c r="J132" s="7"/>
      <c r="L132" s="7"/>
      <c r="N132" s="331"/>
    </row>
    <row r="133" spans="3:16" ht="18.75" customHeight="1" x14ac:dyDescent="0.25">
      <c r="C133" s="29"/>
      <c r="D133" s="341" t="s">
        <v>1136</v>
      </c>
      <c r="H133" s="231" t="str">
        <f>IF($F$113=0, "Please skip this section.", "Should sum to 100%!")</f>
        <v>Please skip this section.</v>
      </c>
      <c r="L133" s="197" t="s">
        <v>65</v>
      </c>
      <c r="M133" s="274" t="str">
        <f>IF( COUNT(F135,I135,L135,F137,I137)&gt;0,
       SUM(F135,I135,L135,F137,I137), "")</f>
        <v/>
      </c>
      <c r="N133" s="331"/>
      <c r="P133" s="286" t="str">
        <f>IF(AND(H133&lt;&gt;"Please skip this section.", COUNT(F135,I135,L135,F137,I137)&gt;0),
       IF(M133&lt;&gt;1, "Total not 100%.", "OK"), "OK")</f>
        <v>OK</v>
      </c>
    </row>
    <row r="134" spans="3:16" ht="7.5" customHeight="1" x14ac:dyDescent="0.25">
      <c r="C134" s="29"/>
      <c r="E134" s="11"/>
      <c r="N134" s="331"/>
    </row>
    <row r="135" spans="3:16" ht="15.75" x14ac:dyDescent="0.25">
      <c r="C135" s="29"/>
      <c r="E135" s="276" t="s">
        <v>504</v>
      </c>
      <c r="F135" s="256"/>
      <c r="G135" s="36"/>
      <c r="H135" s="276" t="s">
        <v>505</v>
      </c>
      <c r="I135" s="256"/>
      <c r="J135" s="36"/>
      <c r="K135" s="276" t="s">
        <v>506</v>
      </c>
      <c r="L135" s="256"/>
      <c r="N135" s="331"/>
    </row>
    <row r="136" spans="3:16" ht="7.5" customHeight="1" x14ac:dyDescent="0.25">
      <c r="C136" s="29"/>
      <c r="E136" s="344"/>
      <c r="F136" s="36"/>
      <c r="G136" s="36"/>
      <c r="H136" s="36"/>
      <c r="I136" s="36"/>
      <c r="J136" s="36"/>
      <c r="K136" s="36"/>
      <c r="L136" s="36"/>
      <c r="N136" s="331"/>
    </row>
    <row r="137" spans="3:16" ht="15.75" x14ac:dyDescent="0.25">
      <c r="C137" s="29"/>
      <c r="E137" s="276" t="s">
        <v>507</v>
      </c>
      <c r="F137" s="256"/>
      <c r="G137" s="36"/>
      <c r="H137" s="276" t="s">
        <v>78</v>
      </c>
      <c r="I137" s="256"/>
      <c r="J137" s="36"/>
      <c r="K137" s="36"/>
      <c r="L137" s="36"/>
      <c r="N137" s="331"/>
    </row>
    <row r="138" spans="3:16" ht="3.95" customHeight="1" x14ac:dyDescent="0.25">
      <c r="C138" s="29"/>
      <c r="N138" s="331"/>
    </row>
    <row r="139" spans="3:16" ht="3.95" customHeight="1" x14ac:dyDescent="0.25">
      <c r="C139" s="29"/>
      <c r="D139" s="340"/>
      <c r="E139" s="340"/>
      <c r="F139" s="340"/>
      <c r="G139" s="340"/>
      <c r="H139" s="340"/>
      <c r="I139" s="340"/>
      <c r="J139" s="340"/>
      <c r="K139" s="340"/>
      <c r="L139" s="340"/>
      <c r="M139" s="340"/>
      <c r="N139" s="331"/>
    </row>
    <row r="140" spans="3:16" ht="3.95" customHeight="1" x14ac:dyDescent="0.25">
      <c r="C140" s="29"/>
      <c r="D140" s="7"/>
      <c r="G140" s="7"/>
      <c r="J140" s="7"/>
      <c r="L140" s="7"/>
      <c r="N140" s="331"/>
    </row>
    <row r="141" spans="3:16" ht="18.75" customHeight="1" x14ac:dyDescent="0.25">
      <c r="C141" s="29"/>
      <c r="D141" s="341" t="s">
        <v>1137</v>
      </c>
      <c r="H141" s="231" t="str">
        <f>IF($I$113=0, "Please skip this section.", "Should sum to 100%!")</f>
        <v>Please skip this section.</v>
      </c>
      <c r="L141" s="197" t="s">
        <v>65</v>
      </c>
      <c r="M141" s="274" t="str">
        <f>IF( COUNT(F143,I143,L143,F145)&gt;0,
       SUM(F143,I143,L143,F145), "")</f>
        <v/>
      </c>
      <c r="N141" s="331"/>
      <c r="P141" s="286" t="str">
        <f>IF(AND(H141&lt;&gt;"Please skip this section.", COUNT(F143,I143,L143,F145)&gt;0),
       IF(M141&lt;&gt;1, "Total not 100%.", "OK"), "OK")</f>
        <v>OK</v>
      </c>
    </row>
    <row r="142" spans="3:16" ht="7.5" customHeight="1" x14ac:dyDescent="0.25">
      <c r="C142" s="29"/>
      <c r="E142" s="11"/>
      <c r="N142" s="331"/>
    </row>
    <row r="143" spans="3:16" ht="15.75" x14ac:dyDescent="0.25">
      <c r="C143" s="29"/>
      <c r="E143" s="276" t="s">
        <v>144</v>
      </c>
      <c r="F143" s="256"/>
      <c r="G143" s="36"/>
      <c r="H143" s="276" t="s">
        <v>145</v>
      </c>
      <c r="I143" s="256"/>
      <c r="J143" s="36"/>
      <c r="K143" s="276" t="s">
        <v>146</v>
      </c>
      <c r="L143" s="256"/>
      <c r="N143" s="331"/>
    </row>
    <row r="144" spans="3:16" ht="7.5" customHeight="1" x14ac:dyDescent="0.25">
      <c r="C144" s="29"/>
      <c r="E144" s="344"/>
      <c r="F144" s="36"/>
      <c r="G144" s="36"/>
      <c r="H144" s="36"/>
      <c r="I144" s="36"/>
      <c r="J144" s="36"/>
      <c r="K144" s="36"/>
      <c r="L144" s="36"/>
      <c r="N144" s="331"/>
    </row>
    <row r="145" spans="3:14" ht="15.75" x14ac:dyDescent="0.25">
      <c r="C145" s="29"/>
      <c r="E145" s="276" t="s">
        <v>78</v>
      </c>
      <c r="F145" s="256"/>
      <c r="G145" s="36"/>
      <c r="H145" s="36"/>
      <c r="I145" s="36"/>
      <c r="J145" s="36"/>
      <c r="K145" s="36"/>
      <c r="L145" s="36"/>
      <c r="N145" s="331"/>
    </row>
    <row r="146" spans="3:14" ht="7.5" customHeight="1" x14ac:dyDescent="0.25">
      <c r="C146" s="328"/>
      <c r="D146" s="329"/>
      <c r="E146" s="329"/>
      <c r="F146" s="329"/>
      <c r="G146" s="329"/>
      <c r="H146" s="329"/>
      <c r="I146" s="329"/>
      <c r="J146" s="329"/>
      <c r="K146" s="329"/>
      <c r="L146" s="329"/>
      <c r="M146" s="329"/>
      <c r="N146" s="330"/>
    </row>
    <row r="147" spans="3:14" ht="15" customHeight="1" x14ac:dyDescent="0.25"/>
    <row r="148" spans="3:14" x14ac:dyDescent="0.25"/>
  </sheetData>
  <mergeCells count="2">
    <mergeCell ref="D9:M9"/>
    <mergeCell ref="D11:M11"/>
  </mergeCells>
  <conditionalFormatting sqref="M13 F15 I15 L15 F17 I17 L17 F19 I19 L19 F21 I21">
    <cfRule type="expression" dxfId="154" priority="33">
      <formula>$H$13="Please skip this section if your firm has no environmental revenue."</formula>
    </cfRule>
  </conditionalFormatting>
  <conditionalFormatting sqref="M25 F27 I27 L27 F29">
    <cfRule type="expression" dxfId="153" priority="457">
      <formula>$H$25="Please skip this section."</formula>
    </cfRule>
  </conditionalFormatting>
  <conditionalFormatting sqref="M33 F35 I35 L35 F37 I37">
    <cfRule type="expression" dxfId="152" priority="70">
      <formula>$H$33="Please skip this section."</formula>
    </cfRule>
  </conditionalFormatting>
  <conditionalFormatting sqref="M41 F43 I43 L43 F45">
    <cfRule type="expression" dxfId="151" priority="458">
      <formula>$H$41="Please skip this section."</formula>
    </cfRule>
  </conditionalFormatting>
  <conditionalFormatting sqref="M49 F51 I51 L51 F53 I53">
    <cfRule type="expression" dxfId="150" priority="69">
      <formula>$H$49="Please skip this section if your firm has no water/wastewater revenue."</formula>
    </cfRule>
  </conditionalFormatting>
  <conditionalFormatting sqref="M57 F59 I59 L59 F61 I61">
    <cfRule type="expression" dxfId="149" priority="60">
      <formula>$H$57="Please skip this section if your firm has no power revenue."</formula>
    </cfRule>
  </conditionalFormatting>
  <conditionalFormatting sqref="M65 F67 I67 L67 F69">
    <cfRule type="expression" dxfId="148" priority="48">
      <formula>$H$65="Please skip this section."</formula>
    </cfRule>
  </conditionalFormatting>
  <conditionalFormatting sqref="M73 F75 I75 L75 F77 I77 L77">
    <cfRule type="expression" dxfId="147" priority="45">
      <formula>$H$73="Please skip this section."</formula>
    </cfRule>
  </conditionalFormatting>
  <conditionalFormatting sqref="M81 F83 I83 L83 F85 I85">
    <cfRule type="expression" dxfId="146" priority="40">
      <formula>$H$81="Please skip this section."</formula>
    </cfRule>
  </conditionalFormatting>
  <conditionalFormatting sqref="M89 F91 I91 L91 F93 I93">
    <cfRule type="expression" dxfId="145" priority="35">
      <formula>$H$89="Please skip this section."</formula>
    </cfRule>
  </conditionalFormatting>
  <conditionalFormatting sqref="M97 F99 I99 L99 F101 I101 L101 F103 I103 L103 F105">
    <cfRule type="expression" dxfId="144" priority="31">
      <formula>$H$97="Please skip this section if your firm has no general building revenue."</formula>
    </cfRule>
  </conditionalFormatting>
  <conditionalFormatting sqref="M109 F111 I111 L111 F113 I113 L113">
    <cfRule type="expression" dxfId="143" priority="20">
      <formula>$H$109="Please skip this section if your firm has no transportation revenue."</formula>
    </cfRule>
  </conditionalFormatting>
  <conditionalFormatting sqref="M117 F119 I119 L119 F121 I121 L121">
    <cfRule type="expression" dxfId="142" priority="15">
      <formula>$H$117="Please skip this section."</formula>
    </cfRule>
  </conditionalFormatting>
  <conditionalFormatting sqref="M125 F127 I127 L127 F129">
    <cfRule type="expression" dxfId="141" priority="10">
      <formula>$H$125="Please skip this section."</formula>
    </cfRule>
  </conditionalFormatting>
  <conditionalFormatting sqref="M133 F135 I135 L135 F137 I137">
    <cfRule type="expression" dxfId="140" priority="7">
      <formula>$H$133="Please skip this section."</formula>
    </cfRule>
  </conditionalFormatting>
  <conditionalFormatting sqref="M141 F143 I143 L143 F145">
    <cfRule type="expression" dxfId="139" priority="4">
      <formula>$H$141="Please skip this section."</formula>
    </cfRule>
  </conditionalFormatting>
  <conditionalFormatting sqref="P13">
    <cfRule type="cellIs" dxfId="138" priority="92" operator="notEqual">
      <formula>"OK"</formula>
    </cfRule>
    <cfRule type="cellIs" dxfId="137" priority="93" operator="equal">
      <formula>"OK"</formula>
    </cfRule>
  </conditionalFormatting>
  <conditionalFormatting sqref="P25">
    <cfRule type="cellIs" dxfId="136" priority="85" operator="equal">
      <formula>"OK"</formula>
    </cfRule>
    <cfRule type="cellIs" dxfId="135" priority="84" operator="notEqual">
      <formula>"OK"</formula>
    </cfRule>
  </conditionalFormatting>
  <conditionalFormatting sqref="P33">
    <cfRule type="cellIs" dxfId="134" priority="77" operator="notEqual">
      <formula>"OK"</formula>
    </cfRule>
    <cfRule type="cellIs" dxfId="133" priority="78" operator="equal">
      <formula>"OK"</formula>
    </cfRule>
  </conditionalFormatting>
  <conditionalFormatting sqref="P41">
    <cfRule type="cellIs" dxfId="132" priority="72" operator="equal">
      <formula>"OK"</formula>
    </cfRule>
    <cfRule type="cellIs" dxfId="131" priority="71" operator="notEqual">
      <formula>"OK"</formula>
    </cfRule>
  </conditionalFormatting>
  <conditionalFormatting sqref="P49">
    <cfRule type="cellIs" dxfId="130" priority="61" operator="notEqual">
      <formula>"OK"</formula>
    </cfRule>
    <cfRule type="cellIs" dxfId="129" priority="62" operator="equal">
      <formula>"OK"</formula>
    </cfRule>
  </conditionalFormatting>
  <conditionalFormatting sqref="P57">
    <cfRule type="cellIs" dxfId="128" priority="54" operator="equal">
      <formula>"OK"</formula>
    </cfRule>
    <cfRule type="cellIs" dxfId="127" priority="53" operator="notEqual">
      <formula>"OK"</formula>
    </cfRule>
  </conditionalFormatting>
  <conditionalFormatting sqref="P65">
    <cfRule type="cellIs" dxfId="126" priority="50" operator="equal">
      <formula>"OK"</formula>
    </cfRule>
    <cfRule type="cellIs" dxfId="125" priority="49" operator="notEqual">
      <formula>"OK"</formula>
    </cfRule>
  </conditionalFormatting>
  <conditionalFormatting sqref="P73">
    <cfRule type="cellIs" dxfId="124" priority="46" operator="notEqual">
      <formula>"OK"</formula>
    </cfRule>
    <cfRule type="cellIs" dxfId="123" priority="47" operator="equal">
      <formula>"OK"</formula>
    </cfRule>
  </conditionalFormatting>
  <conditionalFormatting sqref="P81">
    <cfRule type="cellIs" dxfId="122" priority="42" operator="equal">
      <formula>"OK"</formula>
    </cfRule>
    <cfRule type="cellIs" dxfId="121" priority="41" operator="notEqual">
      <formula>"OK"</formula>
    </cfRule>
  </conditionalFormatting>
  <conditionalFormatting sqref="P89">
    <cfRule type="cellIs" dxfId="120" priority="36" operator="notEqual">
      <formula>"OK"</formula>
    </cfRule>
    <cfRule type="cellIs" dxfId="119" priority="37" operator="equal">
      <formula>"OK"</formula>
    </cfRule>
  </conditionalFormatting>
  <conditionalFormatting sqref="P97">
    <cfRule type="cellIs" dxfId="118" priority="30" operator="equal">
      <formula>"OK"</formula>
    </cfRule>
    <cfRule type="cellIs" dxfId="117" priority="29" operator="notEqual">
      <formula>"OK"</formula>
    </cfRule>
  </conditionalFormatting>
  <conditionalFormatting sqref="P109">
    <cfRule type="cellIs" dxfId="116" priority="19" operator="equal">
      <formula>"OK"</formula>
    </cfRule>
    <cfRule type="cellIs" dxfId="115" priority="18" operator="notEqual">
      <formula>"OK"</formula>
    </cfRule>
  </conditionalFormatting>
  <conditionalFormatting sqref="P117">
    <cfRule type="cellIs" dxfId="114" priority="17" operator="equal">
      <formula>"OK"</formula>
    </cfRule>
    <cfRule type="cellIs" dxfId="113" priority="16" operator="notEqual">
      <formula>"OK"</formula>
    </cfRule>
  </conditionalFormatting>
  <conditionalFormatting sqref="P125">
    <cfRule type="cellIs" dxfId="112" priority="12" operator="equal">
      <formula>"OK"</formula>
    </cfRule>
    <cfRule type="cellIs" dxfId="111" priority="11" operator="notEqual">
      <formula>"OK"</formula>
    </cfRule>
  </conditionalFormatting>
  <conditionalFormatting sqref="P133">
    <cfRule type="cellIs" dxfId="110" priority="9" operator="equal">
      <formula>"OK"</formula>
    </cfRule>
    <cfRule type="cellIs" dxfId="109" priority="8" operator="notEqual">
      <formula>"OK"</formula>
    </cfRule>
  </conditionalFormatting>
  <conditionalFormatting sqref="P141">
    <cfRule type="cellIs" dxfId="108" priority="1" operator="notEqual">
      <formula>"OK"</formula>
    </cfRule>
    <cfRule type="cellIs" dxfId="107" priority="2" operator="equal">
      <formula>"OK"</formula>
    </cfRule>
  </conditionalFormatting>
  <dataValidations disablePrompts="1" count="1">
    <dataValidation type="custom" allowBlank="1" showInputMessage="1" showErrorMessage="1" sqref="F15 I15 L15 F17 I17 L17 F19 I19 L19 F21 I21 F27 I27 L27 F29 F35 I35 L35 F37 I37 F43 I43 L43 F45 F51 I51 L51 F53 I53 F59 I59 L59 F61 I61 F67 I67 L67 F69 F75 I75 L75 F77 I77 L77 F83 I83 L83 F85 I85 F91 I91 L91 F93 I93 F99 I99 L99 F101 I101 L101 F103 F105 I103 L103 F111 I111 L111 I113 L113 L121 F119 I119 L119 F121 I121 F113 F145 F127 I127 L127 F129 F143 I143 F135 I135 L135 F137 L143 I137" xr:uid="{AAE80C03-B051-46C6-8FFE-81088421C00B}">
      <formula1>ISNUMBER(F15)</formula1>
    </dataValidation>
  </dataValidations>
  <pageMargins left="0.7" right="0.7" top="0.75" bottom="0.75" header="0.3" footer="0.3"/>
  <pageSetup scale="47" orientation="portrait" r:id="rId1"/>
  <headerFooter>
    <oddHeader>&amp;C 2025 EFCG A/E/C Confidential CEO Survey - &amp;A</oddHeader>
    <oddFooter>&amp;L© Environmental Financial Consulting Group, LLC – All Rights Reserved – Confidential survey for selected recipients only.
Not for further distribution, display, or reproduction.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43AC-10DF-4731-B122-2B6B0FBC617D}">
  <sheetPr codeName="Sheet4">
    <pageSetUpPr fitToPage="1"/>
  </sheetPr>
  <dimension ref="A1:Q232"/>
  <sheetViews>
    <sheetView showGridLines="0" zoomScale="70" zoomScaleNormal="70" zoomScaleSheetLayoutView="70" workbookViewId="0"/>
  </sheetViews>
  <sheetFormatPr defaultColWidth="0" defaultRowHeight="15" customHeight="1" zeroHeight="1" x14ac:dyDescent="0.25"/>
  <cols>
    <col min="1" max="1" width="2.5703125" style="36" customWidth="1"/>
    <col min="2" max="2" width="2.5703125" style="98" customWidth="1"/>
    <col min="3" max="3" width="2.5703125" style="36" customWidth="1"/>
    <col min="4" max="13" width="18.140625" style="98" customWidth="1"/>
    <col min="14" max="15" width="2.5703125" style="98" customWidth="1"/>
    <col min="16" max="16" width="65.5703125" style="44" customWidth="1"/>
    <col min="17" max="17" width="2.5703125" style="182" customWidth="1"/>
    <col min="18" max="16384" width="8.85546875" style="98" hidden="1"/>
  </cols>
  <sheetData>
    <row r="1" spans="2:17" s="36" customFormat="1" ht="15" customHeight="1" x14ac:dyDescent="0.25">
      <c r="P1" s="282"/>
    </row>
    <row r="2" spans="2:17" s="36" customFormat="1" ht="7.5" customHeight="1" x14ac:dyDescent="0.25">
      <c r="P2" s="282"/>
    </row>
    <row r="3" spans="2:17" s="36" customFormat="1" ht="7.5" customHeight="1" x14ac:dyDescent="0.35">
      <c r="C3" s="59"/>
      <c r="D3" s="60"/>
      <c r="E3" s="61"/>
      <c r="F3" s="62"/>
      <c r="G3" s="63"/>
      <c r="H3" s="63"/>
      <c r="I3" s="64"/>
      <c r="J3" s="64"/>
      <c r="K3" s="63"/>
      <c r="L3" s="65"/>
      <c r="M3" s="66"/>
      <c r="N3" s="67"/>
      <c r="O3" s="58"/>
      <c r="P3" s="282"/>
      <c r="Q3" s="58"/>
    </row>
    <row r="4" spans="2:17" s="36" customFormat="1" ht="18.75" customHeight="1" x14ac:dyDescent="0.35">
      <c r="C4" s="68"/>
      <c r="D4" s="69" t="s">
        <v>1600</v>
      </c>
      <c r="E4" s="70"/>
      <c r="F4" s="70"/>
      <c r="G4" s="71"/>
      <c r="H4" s="72"/>
      <c r="I4" s="72"/>
      <c r="J4" s="72"/>
      <c r="K4" s="72"/>
      <c r="L4" s="70"/>
      <c r="M4" s="70"/>
      <c r="N4" s="73"/>
      <c r="O4" s="58"/>
      <c r="P4" s="282"/>
      <c r="Q4" s="58"/>
    </row>
    <row r="5" spans="2:17" s="36" customFormat="1" ht="7.5" customHeight="1" x14ac:dyDescent="0.35">
      <c r="C5" s="74"/>
      <c r="D5" s="58"/>
      <c r="E5" s="58"/>
      <c r="F5" s="58"/>
      <c r="G5" s="55"/>
      <c r="H5" s="75"/>
      <c r="I5" s="75"/>
      <c r="J5" s="75"/>
      <c r="K5" s="75"/>
      <c r="L5" s="58"/>
      <c r="M5" s="58"/>
      <c r="N5" s="76"/>
      <c r="O5" s="58"/>
      <c r="P5" s="282"/>
      <c r="Q5" s="58"/>
    </row>
    <row r="6" spans="2:17" s="36" customFormat="1" ht="18.75" customHeight="1" x14ac:dyDescent="0.35">
      <c r="B6" s="50"/>
      <c r="C6" s="154"/>
      <c r="D6" s="169" t="s">
        <v>767</v>
      </c>
      <c r="E6" s="156"/>
      <c r="F6" s="157"/>
      <c r="G6" s="157"/>
      <c r="H6" s="157"/>
      <c r="I6" s="157"/>
      <c r="J6" s="157"/>
      <c r="K6" s="158"/>
      <c r="L6" s="155"/>
      <c r="M6" s="155"/>
      <c r="N6" s="184"/>
      <c r="O6" s="155"/>
      <c r="P6" s="296"/>
      <c r="Q6" s="185"/>
    </row>
    <row r="7" spans="2:17" s="36" customFormat="1" ht="7.5" customHeight="1" x14ac:dyDescent="0.35">
      <c r="B7" s="50"/>
      <c r="C7" s="154"/>
      <c r="D7" s="155"/>
      <c r="E7" s="156"/>
      <c r="F7" s="157"/>
      <c r="G7" s="157"/>
      <c r="H7" s="157"/>
      <c r="I7" s="157"/>
      <c r="J7" s="157"/>
      <c r="K7" s="158"/>
      <c r="L7" s="155"/>
      <c r="M7" s="155"/>
      <c r="N7" s="184"/>
      <c r="O7" s="155"/>
      <c r="P7" s="296"/>
      <c r="Q7" s="185"/>
    </row>
    <row r="8" spans="2:17" s="36" customFormat="1" ht="15" customHeight="1" x14ac:dyDescent="0.35">
      <c r="B8" s="50"/>
      <c r="C8" s="154"/>
      <c r="D8" s="84" t="str">
        <f>CONCATENATE("What are your annual capital expenditures (excluding acquisitions, in millions",
                               IF(NOT(ISBLANK(_Currency)), CONCATENATE(" of ", _Currency, ")?"), ")?"))</f>
        <v>What are your annual capital expenditures (excluding acquisitions, in millions)?</v>
      </c>
      <c r="K8" s="98"/>
      <c r="L8" s="98"/>
      <c r="M8" s="186"/>
      <c r="N8" s="184"/>
      <c r="O8" s="155"/>
      <c r="P8" s="296"/>
      <c r="Q8" s="185"/>
    </row>
    <row r="9" spans="2:17" s="36" customFormat="1" ht="7.5" customHeight="1" x14ac:dyDescent="0.35">
      <c r="B9" s="50"/>
      <c r="C9" s="154"/>
      <c r="K9" s="98"/>
      <c r="L9" s="98"/>
      <c r="M9" s="81"/>
      <c r="N9" s="184"/>
      <c r="O9" s="155"/>
      <c r="P9" s="296"/>
      <c r="Q9" s="185"/>
    </row>
    <row r="10" spans="2:17" s="36" customFormat="1" ht="15" customHeight="1" x14ac:dyDescent="0.35">
      <c r="B10" s="50"/>
      <c r="C10" s="154"/>
      <c r="D10" s="84" t="str">
        <f>CONCATENATE("What are your annual lease expenses (in millions",
                               IF(NOT(ISBLANK(_Currency)), CONCATENATE(" of ", _Currency, ")?"), ")?"))</f>
        <v>What are your annual lease expenses (in millions)?</v>
      </c>
      <c r="K10" s="98"/>
      <c r="L10" s="98"/>
      <c r="M10" s="186"/>
      <c r="N10" s="184"/>
      <c r="O10" s="155"/>
      <c r="P10" s="296"/>
      <c r="Q10" s="185"/>
    </row>
    <row r="11" spans="2:17" s="36" customFormat="1" ht="7.5" customHeight="1" x14ac:dyDescent="0.35">
      <c r="B11" s="50"/>
      <c r="C11" s="154"/>
      <c r="M11" s="81"/>
      <c r="N11" s="184"/>
      <c r="O11" s="155"/>
      <c r="P11" s="296"/>
      <c r="Q11" s="185"/>
    </row>
    <row r="12" spans="2:17" ht="15" customHeight="1" x14ac:dyDescent="0.3">
      <c r="C12" s="79"/>
      <c r="D12" s="84" t="s">
        <v>910</v>
      </c>
      <c r="H12" s="165"/>
      <c r="L12" s="100" t="str">
        <f>CONCATENATE("Approx. market value of this real estate (in millions",
                               IF(NOT(ISBLANK(_Currency)), CONCATENATE(" of ", _Currency, "):"), "):"))</f>
        <v>Approx. market value of this real estate (in millions):</v>
      </c>
      <c r="M12" s="187"/>
      <c r="N12" s="129"/>
      <c r="O12" s="36"/>
      <c r="P12" s="286" t="str">
        <f>IF(H12&lt;&gt;"Yes",
       IF(M12&gt;0, "Please select YES if entering value.", "OK"), "OK")</f>
        <v>OK</v>
      </c>
      <c r="Q12" s="98"/>
    </row>
    <row r="13" spans="2:17" ht="7.5" customHeight="1" x14ac:dyDescent="0.25">
      <c r="C13" s="99"/>
      <c r="M13" s="36"/>
      <c r="N13" s="129"/>
      <c r="O13" s="36"/>
      <c r="Q13" s="98"/>
    </row>
    <row r="14" spans="2:17" s="36" customFormat="1" ht="18.75" customHeight="1" x14ac:dyDescent="0.35">
      <c r="B14" s="50"/>
      <c r="C14" s="154"/>
      <c r="D14" s="169" t="s">
        <v>766</v>
      </c>
      <c r="E14" s="156"/>
      <c r="F14" s="157"/>
      <c r="G14" s="157"/>
      <c r="H14" s="157"/>
      <c r="I14" s="157"/>
      <c r="J14" s="157"/>
      <c r="K14" s="158"/>
      <c r="L14" s="155"/>
      <c r="M14" s="155"/>
      <c r="N14" s="184"/>
      <c r="O14" s="155"/>
      <c r="P14" s="296"/>
      <c r="Q14" s="185"/>
    </row>
    <row r="15" spans="2:17" s="36" customFormat="1" ht="7.5" customHeight="1" x14ac:dyDescent="0.25">
      <c r="C15" s="79"/>
      <c r="N15" s="129"/>
      <c r="P15"/>
    </row>
    <row r="16" spans="2:17" ht="15" customHeight="1" x14ac:dyDescent="0.3">
      <c r="C16" s="99"/>
      <c r="D16" s="84" t="s">
        <v>548</v>
      </c>
      <c r="E16" s="36"/>
      <c r="F16" s="36"/>
      <c r="G16" s="36"/>
      <c r="I16" s="78" t="s">
        <v>549</v>
      </c>
      <c r="J16" s="162"/>
      <c r="K16" s="36"/>
      <c r="L16" s="78" t="s">
        <v>550</v>
      </c>
      <c r="M16" s="162"/>
      <c r="N16" s="129"/>
      <c r="O16" s="36"/>
      <c r="P16" s="286" t="str">
        <f>IF(OR(ISNUMBER(J16), ISNUMBER(M16)),
       IF(J16&lt;M16, "Total must be greater than subset.", "OK"), "OK")</f>
        <v>OK</v>
      </c>
      <c r="Q16" s="98"/>
    </row>
    <row r="17" spans="2:17" ht="7.5" customHeight="1" x14ac:dyDescent="0.25">
      <c r="C17" s="99"/>
      <c r="D17" s="36"/>
      <c r="E17" s="36"/>
      <c r="F17" s="36"/>
      <c r="G17" s="36"/>
      <c r="H17" s="36"/>
      <c r="I17" s="36"/>
      <c r="J17" s="36"/>
      <c r="K17" s="36"/>
      <c r="L17" s="36"/>
      <c r="M17" s="36"/>
      <c r="N17" s="129"/>
      <c r="O17" s="36"/>
      <c r="Q17" s="98"/>
    </row>
    <row r="18" spans="2:17" ht="15" customHeight="1" x14ac:dyDescent="0.3">
      <c r="C18" s="99"/>
      <c r="D18" s="84" t="s">
        <v>551</v>
      </c>
      <c r="E18" s="36"/>
      <c r="F18" s="36"/>
      <c r="G18" s="36"/>
      <c r="I18" s="78" t="s">
        <v>552</v>
      </c>
      <c r="J18" s="162"/>
      <c r="K18" s="36"/>
      <c r="L18" s="78" t="s">
        <v>553</v>
      </c>
      <c r="M18" s="162"/>
      <c r="N18" s="103"/>
      <c r="O18" s="36"/>
      <c r="Q18" s="98"/>
    </row>
    <row r="19" spans="2:17" s="36" customFormat="1" ht="7.5" customHeight="1" x14ac:dyDescent="0.25">
      <c r="C19" s="79"/>
      <c r="H19" s="98"/>
      <c r="N19" s="129"/>
      <c r="P19"/>
    </row>
    <row r="20" spans="2:17" ht="15" customHeight="1" x14ac:dyDescent="0.3">
      <c r="B20" s="36"/>
      <c r="C20" s="79"/>
      <c r="D20" s="84" t="s">
        <v>554</v>
      </c>
      <c r="E20" s="36"/>
      <c r="F20" s="36"/>
      <c r="G20" s="36"/>
      <c r="I20" s="36"/>
      <c r="J20" s="36"/>
      <c r="K20" s="36"/>
      <c r="L20" s="36"/>
      <c r="M20" s="162"/>
      <c r="N20" s="129"/>
      <c r="Q20" s="98"/>
    </row>
    <row r="21" spans="2:17" s="36" customFormat="1" ht="7.5" customHeight="1" x14ac:dyDescent="0.3">
      <c r="C21" s="79"/>
      <c r="D21" s="84"/>
      <c r="H21" s="98"/>
      <c r="N21" s="129"/>
      <c r="P21"/>
    </row>
    <row r="22" spans="2:17" s="36" customFormat="1" ht="15" customHeight="1" x14ac:dyDescent="0.35">
      <c r="C22" s="188"/>
      <c r="D22" s="84" t="s">
        <v>762</v>
      </c>
      <c r="H22" s="98"/>
      <c r="M22" s="111"/>
      <c r="N22" s="129"/>
      <c r="P22"/>
    </row>
    <row r="23" spans="2:17" ht="7.5" customHeight="1" x14ac:dyDescent="0.25">
      <c r="C23" s="99"/>
      <c r="M23" s="36"/>
      <c r="N23" s="129"/>
      <c r="O23" s="36"/>
      <c r="Q23" s="98"/>
    </row>
    <row r="24" spans="2:17" s="36" customFormat="1" ht="18.75" customHeight="1" x14ac:dyDescent="0.35">
      <c r="B24" s="50"/>
      <c r="C24" s="154"/>
      <c r="D24" s="169" t="s">
        <v>625</v>
      </c>
      <c r="E24" s="156"/>
      <c r="F24" s="157"/>
      <c r="G24" s="157"/>
      <c r="H24" s="157"/>
      <c r="I24" s="157"/>
      <c r="J24" s="157"/>
      <c r="K24" s="158"/>
      <c r="L24" s="155"/>
      <c r="M24" s="155"/>
      <c r="N24" s="184"/>
      <c r="O24" s="155"/>
      <c r="P24" s="296"/>
      <c r="Q24" s="185"/>
    </row>
    <row r="25" spans="2:17" s="36" customFormat="1" ht="7.5" hidden="1" customHeight="1" x14ac:dyDescent="0.25">
      <c r="C25" s="79"/>
      <c r="N25" s="129"/>
      <c r="P25"/>
    </row>
    <row r="26" spans="2:17" s="36" customFormat="1" ht="15" hidden="1" customHeight="1" x14ac:dyDescent="0.3">
      <c r="C26" s="79"/>
      <c r="D26" s="84" t="s">
        <v>622</v>
      </c>
      <c r="I26"/>
      <c r="J26"/>
      <c r="K26"/>
      <c r="L26"/>
      <c r="M26"/>
      <c r="N26" s="129"/>
      <c r="P26"/>
    </row>
    <row r="27" spans="2:17" s="36" customFormat="1" ht="7.5" hidden="1" customHeight="1" x14ac:dyDescent="0.3">
      <c r="C27" s="79"/>
      <c r="D27" s="84"/>
      <c r="I27" s="100"/>
      <c r="J27" s="193"/>
      <c r="L27" s="100"/>
      <c r="M27" s="325"/>
      <c r="N27" s="129"/>
      <c r="P27"/>
    </row>
    <row r="28" spans="2:17" s="36" customFormat="1" ht="15" hidden="1" customHeight="1" x14ac:dyDescent="0.3">
      <c r="C28" s="79"/>
      <c r="D28" s="100" t="s">
        <v>456</v>
      </c>
      <c r="E28" s="472"/>
      <c r="F28" s="472"/>
      <c r="G28" s="100" t="s">
        <v>623</v>
      </c>
      <c r="H28" s="472"/>
      <c r="I28" s="472"/>
      <c r="J28" s="100" t="s">
        <v>457</v>
      </c>
      <c r="K28" s="473"/>
      <c r="L28" s="472"/>
      <c r="M28" s="325"/>
      <c r="N28" s="129"/>
      <c r="P28"/>
    </row>
    <row r="29" spans="2:17" s="36" customFormat="1" ht="7.5" customHeight="1" x14ac:dyDescent="0.25">
      <c r="C29" s="79"/>
      <c r="N29" s="129"/>
      <c r="P29"/>
    </row>
    <row r="30" spans="2:17" s="36" customFormat="1" ht="15" customHeight="1" x14ac:dyDescent="0.3">
      <c r="C30" s="79"/>
      <c r="D30" s="84" t="s">
        <v>624</v>
      </c>
      <c r="M30" s="162"/>
      <c r="N30" s="80"/>
      <c r="P30" s="286" t="str">
        <f>IF(AND(ISNUMBER(M30), ISNUMBER('Ownership, Governance, Talent'!J70), M30&gt;'Ownership, Governance, Talent'!J70), "Value exceeds total # FTEs.", "OK")</f>
        <v>OK</v>
      </c>
    </row>
    <row r="31" spans="2:17" s="36" customFormat="1" ht="7.5" customHeight="1" x14ac:dyDescent="0.25">
      <c r="C31" s="79"/>
      <c r="N31" s="129"/>
      <c r="P31"/>
    </row>
    <row r="32" spans="2:17" s="36" customFormat="1" ht="15" customHeight="1" x14ac:dyDescent="0.3">
      <c r="C32" s="79"/>
      <c r="D32" s="84" t="str">
        <f>CONCATENATE("What is your firm's annual investment in Innovation, Research, and Development (in millions",
                               IF(NOT(ISBLANK(_Currency)), CONCATENATE(" of ", _Currency, ")?"), ")?"))</f>
        <v>What is your firm's annual investment in Innovation, Research, and Development (in millions)?</v>
      </c>
      <c r="E32" s="98"/>
      <c r="F32" s="98"/>
      <c r="G32" s="98"/>
      <c r="H32" s="98"/>
      <c r="I32" s="98"/>
      <c r="M32" s="189"/>
      <c r="N32" s="129"/>
      <c r="P32"/>
    </row>
    <row r="33" spans="3:17" s="36" customFormat="1" ht="7.5" customHeight="1" x14ac:dyDescent="0.25">
      <c r="C33" s="79"/>
      <c r="N33" s="129"/>
      <c r="P33"/>
    </row>
    <row r="34" spans="3:17" s="36" customFormat="1" ht="15" customHeight="1" x14ac:dyDescent="0.3">
      <c r="C34" s="79"/>
      <c r="D34" s="106" t="s">
        <v>621</v>
      </c>
      <c r="I34" s="190" t="s">
        <v>628</v>
      </c>
      <c r="J34" s="111"/>
      <c r="L34" s="190" t="s">
        <v>630</v>
      </c>
      <c r="M34" s="111"/>
      <c r="N34" s="80"/>
      <c r="P34" s="286" t="str">
        <f>IF(M32&gt;0,
        IF(COUNT($J$34,$J$38,$J$36,$M$34,$M$36)=0, "Please enter breakouts.", "OK"),
        IF(COUNT($J$34,$J$38,$J$36,$M$34,$M$36)=0, "OK", _xlfn.CONCAT("Please enter value in Row ", ROW(M32), ".")))</f>
        <v>OK</v>
      </c>
    </row>
    <row r="35" spans="3:17" s="36" customFormat="1" ht="7.5" customHeight="1" x14ac:dyDescent="0.25">
      <c r="C35" s="79"/>
      <c r="N35" s="80"/>
      <c r="P35" s="282"/>
    </row>
    <row r="36" spans="3:17" s="36" customFormat="1" ht="15" customHeight="1" x14ac:dyDescent="0.3">
      <c r="C36" s="79"/>
      <c r="I36" s="190" t="s">
        <v>629</v>
      </c>
      <c r="J36" s="111"/>
      <c r="L36" s="190" t="s">
        <v>632</v>
      </c>
      <c r="M36" s="111"/>
      <c r="N36" s="80"/>
      <c r="P36" s="286" t="str">
        <f>IF(COUNT($J$34,$J$38,$J$36,$M$34,$M$36)&gt;0, IF(SUM($J$34,$J$38,$J$36,$M$34,$M$36)=1, "OK", "Total not 100%."), "OK")</f>
        <v>OK</v>
      </c>
    </row>
    <row r="37" spans="3:17" s="36" customFormat="1" ht="7.5" customHeight="1" x14ac:dyDescent="0.3">
      <c r="C37" s="79"/>
      <c r="L37" s="190"/>
      <c r="N37" s="80"/>
      <c r="P37" s="282"/>
    </row>
    <row r="38" spans="3:17" s="36" customFormat="1" ht="15" customHeight="1" x14ac:dyDescent="0.3">
      <c r="C38" s="79"/>
      <c r="I38" s="190" t="s">
        <v>631</v>
      </c>
      <c r="J38" s="111"/>
      <c r="L38" s="191" t="s">
        <v>65</v>
      </c>
      <c r="M38" s="430" t="str">
        <f>IF(COUNT($J$34,$J$38,$J$36,$M$34,$M$36)&gt;0,
       SUM($J$34,$J$38,$J$36,$M$34,$M$36), "")</f>
        <v/>
      </c>
      <c r="N38" s="80"/>
      <c r="P38" s="282"/>
    </row>
    <row r="39" spans="3:17" s="36" customFormat="1" ht="7.5" hidden="1" customHeight="1" x14ac:dyDescent="0.25">
      <c r="C39" s="79"/>
      <c r="H39"/>
      <c r="I39"/>
      <c r="J39"/>
      <c r="K39"/>
      <c r="L39"/>
      <c r="M39"/>
      <c r="N39" s="80"/>
      <c r="P39" s="282"/>
    </row>
    <row r="40" spans="3:17" s="36" customFormat="1" ht="15" hidden="1" customHeight="1" x14ac:dyDescent="0.3">
      <c r="C40" s="79"/>
      <c r="D40" s="84" t="s">
        <v>1101</v>
      </c>
      <c r="E40" s="98"/>
      <c r="F40" s="98"/>
      <c r="G40" s="261"/>
      <c r="H40" s="98"/>
      <c r="I40" s="98"/>
      <c r="L40" s="100" t="str">
        <f>CONCATENATE("If so, how much investment were you able to claim (in millions",
                               IF(NOT(ISBLANK(_Currency)), CONCATENATE(" of ", _Currency, ")?"), ")?"))</f>
        <v>If so, how much investment were you able to claim (in millions)?</v>
      </c>
      <c r="M40" s="187"/>
      <c r="N40" s="80"/>
      <c r="P40" s="282"/>
    </row>
    <row r="41" spans="3:17" s="36" customFormat="1" ht="7.5" customHeight="1" x14ac:dyDescent="0.25">
      <c r="C41" s="79"/>
      <c r="N41" s="80"/>
      <c r="P41" s="282"/>
    </row>
    <row r="42" spans="3:17" s="36" customFormat="1" ht="15" customHeight="1" x14ac:dyDescent="0.3">
      <c r="C42" s="79"/>
      <c r="D42" s="84" t="s">
        <v>1346</v>
      </c>
      <c r="M42" s="261"/>
      <c r="N42" s="80"/>
      <c r="P42" s="282"/>
    </row>
    <row r="43" spans="3:17" ht="7.5" hidden="1" customHeight="1" x14ac:dyDescent="0.25">
      <c r="C43" s="79"/>
      <c r="D43" s="98" t="s">
        <v>1294</v>
      </c>
      <c r="N43" s="103"/>
    </row>
    <row r="44" spans="3:17" ht="15" hidden="1" customHeight="1" x14ac:dyDescent="0.3">
      <c r="C44" s="79"/>
      <c r="D44" s="84" t="s">
        <v>626</v>
      </c>
      <c r="E44" s="36"/>
      <c r="F44" s="36"/>
      <c r="G44" s="36"/>
      <c r="H44" s="36"/>
      <c r="I44" s="36"/>
      <c r="J44" s="36"/>
      <c r="K44" s="36"/>
      <c r="L44" s="36"/>
      <c r="M44" s="261"/>
      <c r="N44" s="80"/>
      <c r="O44" s="36"/>
      <c r="P44" s="286"/>
      <c r="Q44" s="98"/>
    </row>
    <row r="45" spans="3:17" ht="7.5" hidden="1" customHeight="1" x14ac:dyDescent="0.25">
      <c r="C45" s="79"/>
      <c r="N45" s="103"/>
      <c r="P45" s="295"/>
      <c r="Q45" s="98"/>
    </row>
    <row r="46" spans="3:17" ht="15" hidden="1" customHeight="1" x14ac:dyDescent="0.3">
      <c r="C46" s="79"/>
      <c r="D46" s="106" t="s">
        <v>627</v>
      </c>
      <c r="E46" s="36"/>
      <c r="F46" s="36"/>
      <c r="G46" s="36"/>
      <c r="H46" s="36"/>
      <c r="I46" s="36"/>
      <c r="J46" s="36"/>
      <c r="K46" s="36"/>
      <c r="L46" s="471"/>
      <c r="M46" s="467"/>
      <c r="N46" s="80"/>
      <c r="O46" s="36"/>
      <c r="P46" s="286"/>
      <c r="Q46" s="98"/>
    </row>
    <row r="47" spans="3:17" s="36" customFormat="1" ht="7.5" customHeight="1" x14ac:dyDescent="0.25">
      <c r="C47" s="79"/>
      <c r="N47" s="80"/>
      <c r="P47" s="282"/>
    </row>
    <row r="48" spans="3:17" s="36" customFormat="1" ht="15" customHeight="1" x14ac:dyDescent="0.3">
      <c r="C48" s="79"/>
      <c r="D48" s="106" t="str">
        <f>CONCATENATE("What is your firm's Annual Recurring Revenue from subscription services, software, and/or related products (in millions",
                               IF(NOT(ISBLANK(_Currency)), CONCATENATE(" of ", _Currency, ")?"), ")?"))</f>
        <v>What is your firm's Annual Recurring Revenue from subscription services, software, and/or related products (in millions)?</v>
      </c>
      <c r="M48" s="189"/>
      <c r="N48" s="80"/>
      <c r="P48" s="282"/>
    </row>
    <row r="49" spans="2:17" ht="7.5" hidden="1" customHeight="1" x14ac:dyDescent="0.25">
      <c r="C49" s="79"/>
      <c r="D49" s="98" t="s">
        <v>1294</v>
      </c>
      <c r="N49" s="103"/>
    </row>
    <row r="50" spans="2:17" ht="15" hidden="1" customHeight="1" x14ac:dyDescent="0.3">
      <c r="C50" s="79"/>
      <c r="D50" s="84" t="s">
        <v>626</v>
      </c>
      <c r="E50" s="36"/>
      <c r="F50" s="36"/>
      <c r="G50" s="36"/>
      <c r="H50" s="36"/>
      <c r="I50" s="36"/>
      <c r="J50" s="36"/>
      <c r="K50" s="36"/>
      <c r="L50" s="36"/>
      <c r="M50" s="261"/>
      <c r="N50" s="80"/>
      <c r="O50" s="36"/>
      <c r="P50" s="286"/>
      <c r="Q50" s="98"/>
    </row>
    <row r="51" spans="2:17" ht="7.5" hidden="1" customHeight="1" x14ac:dyDescent="0.25">
      <c r="C51" s="79"/>
      <c r="N51" s="103"/>
      <c r="P51" s="295"/>
      <c r="Q51" s="98"/>
    </row>
    <row r="52" spans="2:17" ht="15" hidden="1" customHeight="1" x14ac:dyDescent="0.3">
      <c r="C52" s="79"/>
      <c r="D52" s="106" t="s">
        <v>627</v>
      </c>
      <c r="E52" s="36"/>
      <c r="F52" s="36"/>
      <c r="G52" s="36"/>
      <c r="H52" s="36"/>
      <c r="I52" s="36"/>
      <c r="J52" s="36"/>
      <c r="K52" s="36"/>
      <c r="L52" s="471"/>
      <c r="M52" s="467"/>
      <c r="N52" s="80"/>
      <c r="O52" s="36"/>
      <c r="P52" s="286"/>
      <c r="Q52" s="98"/>
    </row>
    <row r="53" spans="2:17" s="36" customFormat="1" ht="7.5" customHeight="1" x14ac:dyDescent="0.25">
      <c r="C53" s="79"/>
      <c r="N53" s="80"/>
      <c r="P53" s="282"/>
    </row>
    <row r="54" spans="2:17" s="36" customFormat="1" ht="15" customHeight="1" x14ac:dyDescent="0.3">
      <c r="C54" s="79"/>
      <c r="D54" s="106" t="s">
        <v>1347</v>
      </c>
      <c r="M54" s="241"/>
      <c r="N54" s="80"/>
      <c r="P54" s="282"/>
    </row>
    <row r="55" spans="2:17" s="36" customFormat="1" ht="7.5" customHeight="1" x14ac:dyDescent="0.35">
      <c r="C55" s="85"/>
      <c r="D55" s="166"/>
      <c r="E55" s="166"/>
      <c r="F55" s="166"/>
      <c r="G55" s="90"/>
      <c r="H55" s="167"/>
      <c r="I55" s="167"/>
      <c r="J55" s="167"/>
      <c r="K55" s="167"/>
      <c r="L55" s="166"/>
      <c r="M55" s="166"/>
      <c r="N55" s="168"/>
      <c r="O55" s="58"/>
      <c r="P55" s="282"/>
      <c r="Q55" s="58"/>
    </row>
    <row r="56" spans="2:17" s="36" customFormat="1" ht="7.5" customHeight="1" x14ac:dyDescent="0.35">
      <c r="C56" s="50"/>
      <c r="D56" s="58"/>
      <c r="E56" s="58"/>
      <c r="F56" s="58"/>
      <c r="G56" s="55"/>
      <c r="H56" s="75"/>
      <c r="I56" s="75"/>
      <c r="J56" s="75"/>
      <c r="K56" s="75"/>
      <c r="L56" s="58"/>
      <c r="M56" s="58"/>
      <c r="N56" s="58"/>
      <c r="O56" s="58"/>
      <c r="P56" s="282"/>
      <c r="Q56" s="58"/>
    </row>
    <row r="57" spans="2:17" s="36" customFormat="1" ht="7.5" customHeight="1" x14ac:dyDescent="0.35">
      <c r="C57" s="59"/>
      <c r="D57" s="60"/>
      <c r="E57" s="61"/>
      <c r="F57" s="62"/>
      <c r="G57" s="63"/>
      <c r="H57" s="63"/>
      <c r="I57" s="64"/>
      <c r="J57" s="64"/>
      <c r="K57" s="63"/>
      <c r="L57" s="65"/>
      <c r="M57" s="66"/>
      <c r="N57" s="67"/>
      <c r="O57" s="58"/>
      <c r="P57" s="282"/>
      <c r="Q57" s="58"/>
    </row>
    <row r="58" spans="2:17" s="36" customFormat="1" ht="18.75" customHeight="1" x14ac:dyDescent="0.35">
      <c r="C58" s="68"/>
      <c r="D58" s="69" t="s">
        <v>1601</v>
      </c>
      <c r="E58" s="70"/>
      <c r="F58" s="70"/>
      <c r="G58" s="71"/>
      <c r="H58" s="72"/>
      <c r="I58" s="72"/>
      <c r="J58" s="72"/>
      <c r="K58" s="72"/>
      <c r="L58" s="70"/>
      <c r="M58" s="70"/>
      <c r="N58" s="73"/>
      <c r="O58" s="58"/>
      <c r="P58" s="282"/>
      <c r="Q58" s="58"/>
    </row>
    <row r="59" spans="2:17" s="36" customFormat="1" ht="7.5" customHeight="1" x14ac:dyDescent="0.35">
      <c r="C59" s="74"/>
      <c r="D59" s="58"/>
      <c r="E59" s="58"/>
      <c r="F59" s="58"/>
      <c r="G59" s="55"/>
      <c r="H59" s="75"/>
      <c r="I59" s="75"/>
      <c r="J59" s="75"/>
      <c r="K59" s="75"/>
      <c r="L59" s="58"/>
      <c r="M59" s="58"/>
      <c r="N59" s="76"/>
      <c r="O59" s="58"/>
      <c r="P59" s="282"/>
      <c r="Q59" s="58"/>
    </row>
    <row r="60" spans="2:17" s="36" customFormat="1" ht="18.75" customHeight="1" x14ac:dyDescent="0.35">
      <c r="B60" s="50"/>
      <c r="C60" s="154"/>
      <c r="D60" s="169" t="s">
        <v>555</v>
      </c>
      <c r="E60" s="156"/>
      <c r="F60" s="157"/>
      <c r="G60" s="157"/>
      <c r="H60" s="157"/>
      <c r="I60" s="157"/>
      <c r="J60" s="157"/>
      <c r="K60" s="157"/>
      <c r="L60" s="157"/>
      <c r="M60" s="157"/>
      <c r="N60" s="184"/>
      <c r="O60" s="155"/>
      <c r="P60" s="296"/>
      <c r="Q60" s="185"/>
    </row>
    <row r="61" spans="2:17" s="36" customFormat="1" ht="7.5" customHeight="1" x14ac:dyDescent="0.35">
      <c r="C61" s="74"/>
      <c r="D61" s="58"/>
      <c r="E61" s="58"/>
      <c r="F61" s="58"/>
      <c r="G61" s="55"/>
      <c r="H61" s="75"/>
      <c r="I61" s="75"/>
      <c r="J61" s="75"/>
      <c r="K61" s="75"/>
      <c r="L61" s="58"/>
      <c r="M61" s="58"/>
      <c r="N61" s="76"/>
      <c r="O61" s="58"/>
      <c r="P61" s="282"/>
      <c r="Q61" s="58"/>
    </row>
    <row r="62" spans="2:17" s="36" customFormat="1" ht="18.75" customHeight="1" x14ac:dyDescent="0.35">
      <c r="B62" s="50"/>
      <c r="C62" s="154"/>
      <c r="D62" s="84" t="s">
        <v>1326</v>
      </c>
      <c r="E62" s="98"/>
      <c r="F62" s="98"/>
      <c r="G62" s="98"/>
      <c r="H62" s="98"/>
      <c r="I62" s="98"/>
      <c r="M62" s="165"/>
      <c r="N62" s="184"/>
      <c r="O62" s="155"/>
      <c r="P62" s="296"/>
      <c r="Q62" s="185"/>
    </row>
    <row r="63" spans="2:17" s="36" customFormat="1" ht="5.0999999999999996" customHeight="1" x14ac:dyDescent="0.25">
      <c r="C63" s="79"/>
      <c r="N63" s="80"/>
      <c r="P63"/>
    </row>
    <row r="64" spans="2:17" s="36" customFormat="1" ht="18.75" customHeight="1" x14ac:dyDescent="0.35">
      <c r="B64" s="50"/>
      <c r="C64" s="154"/>
      <c r="D64" s="106"/>
      <c r="G64" s="190" t="s">
        <v>1327</v>
      </c>
      <c r="H64" s="240"/>
      <c r="L64" s="190" t="s">
        <v>1328</v>
      </c>
      <c r="M64" s="256"/>
      <c r="N64" s="184"/>
      <c r="O64" s="155"/>
      <c r="P64" s="296"/>
      <c r="Q64" s="185"/>
    </row>
    <row r="65" spans="2:17" s="36" customFormat="1" ht="5.0999999999999996" customHeight="1" x14ac:dyDescent="0.25">
      <c r="C65" s="79"/>
      <c r="N65" s="80"/>
      <c r="P65"/>
    </row>
    <row r="66" spans="2:17" s="36" customFormat="1" ht="18.75" customHeight="1" x14ac:dyDescent="0.35">
      <c r="B66" s="50"/>
      <c r="C66" s="154"/>
      <c r="G66" s="190" t="str">
        <f>CONCATENATE("Enterprise value at the time of close (in millions",
                               IF(NOT(ISBLANK(_Currency)), CONCATENATE(" of ", _Currency, "):"), "):"))</f>
        <v>Enterprise value at the time of close (in millions):</v>
      </c>
      <c r="H66" s="189"/>
      <c r="L66" s="190" t="s">
        <v>1329</v>
      </c>
      <c r="M66" s="247"/>
      <c r="N66" s="184"/>
      <c r="O66" s="155"/>
      <c r="P66" s="296"/>
      <c r="Q66" s="185"/>
    </row>
    <row r="67" spans="2:17" s="36" customFormat="1" ht="5.0999999999999996" customHeight="1" x14ac:dyDescent="0.25">
      <c r="C67" s="79"/>
      <c r="N67" s="80"/>
      <c r="P67"/>
    </row>
    <row r="68" spans="2:17" s="36" customFormat="1" ht="18.75" customHeight="1" x14ac:dyDescent="0.35">
      <c r="B68" s="50"/>
      <c r="C68" s="154"/>
      <c r="D68" s="169"/>
      <c r="E68" s="156"/>
      <c r="F68" s="157"/>
      <c r="G68" s="190" t="s">
        <v>1330</v>
      </c>
      <c r="H68" s="165"/>
      <c r="L68" s="190" t="s">
        <v>1331</v>
      </c>
      <c r="M68" s="247"/>
      <c r="N68" s="184"/>
      <c r="O68" s="155"/>
      <c r="P68" s="296"/>
      <c r="Q68" s="185"/>
    </row>
    <row r="69" spans="2:17" s="36" customFormat="1" ht="5.0999999999999996" customHeight="1" x14ac:dyDescent="0.25">
      <c r="C69" s="79"/>
      <c r="N69" s="80"/>
      <c r="P69"/>
    </row>
    <row r="70" spans="2:17" s="36" customFormat="1" ht="18.75" hidden="1" customHeight="1" x14ac:dyDescent="0.35">
      <c r="B70" s="50"/>
      <c r="C70" s="154"/>
      <c r="G70" s="190" t="s">
        <v>1333</v>
      </c>
      <c r="H70" s="165"/>
      <c r="K70" s="190" t="s">
        <v>1334</v>
      </c>
      <c r="L70" s="477"/>
      <c r="M70" s="477"/>
      <c r="N70" s="184"/>
      <c r="O70" s="155"/>
      <c r="P70" s="296"/>
      <c r="Q70" s="185"/>
    </row>
    <row r="71" spans="2:17" s="36" customFormat="1" ht="4.5" hidden="1" customHeight="1" x14ac:dyDescent="0.25">
      <c r="C71" s="79"/>
      <c r="N71" s="80"/>
      <c r="P71"/>
    </row>
    <row r="72" spans="2:17" s="36" customFormat="1" ht="18.75" customHeight="1" x14ac:dyDescent="0.35">
      <c r="B72" s="50"/>
      <c r="C72" s="154"/>
      <c r="D72" s="169"/>
      <c r="E72" s="156"/>
      <c r="F72" s="157"/>
      <c r="H72" s="190" t="s">
        <v>1332</v>
      </c>
      <c r="I72" s="477"/>
      <c r="J72" s="477"/>
      <c r="K72" s="477"/>
      <c r="L72" s="477"/>
      <c r="M72" s="477"/>
      <c r="N72" s="184"/>
      <c r="O72" s="155"/>
      <c r="P72" s="296"/>
      <c r="Q72" s="185"/>
    </row>
    <row r="73" spans="2:17" s="36" customFormat="1" ht="7.5" customHeight="1" x14ac:dyDescent="0.35">
      <c r="C73" s="74"/>
      <c r="D73" s="58"/>
      <c r="E73" s="58"/>
      <c r="F73" s="58"/>
      <c r="G73" s="55"/>
      <c r="H73" s="75"/>
      <c r="I73" s="75"/>
      <c r="J73" s="75"/>
      <c r="K73" s="75"/>
      <c r="L73" s="58"/>
      <c r="M73" s="58"/>
      <c r="N73" s="76"/>
      <c r="O73" s="58"/>
      <c r="P73" s="282"/>
      <c r="Q73" s="58"/>
    </row>
    <row r="74" spans="2:17" ht="15" customHeight="1" x14ac:dyDescent="0.3">
      <c r="C74" s="79"/>
      <c r="D74" s="36"/>
      <c r="E74" s="36"/>
      <c r="F74" s="36"/>
      <c r="G74" s="36"/>
      <c r="H74" s="102" t="str">
        <f>IF(TRUE,TEXT(2025-4,"0000"),TEXT(2025-4,"0000")) &amp; "A"</f>
        <v>2021A</v>
      </c>
      <c r="I74" s="102" t="str">
        <f>IF(TRUE,TEXT(2025-3,"0000"),TEXT(2025-3,"0000")) &amp; "A"</f>
        <v>2022A</v>
      </c>
      <c r="J74" s="102" t="str">
        <f>IF(TRUE,TEXT(2025-2,"0000"),TEXT(2025-2,"0000")) &amp; "A"</f>
        <v>2023A</v>
      </c>
      <c r="K74" s="102" t="str">
        <f>IF(TRUE,TEXT(2025-1,"0000"),TEXT(2025-1,"0000")) &amp; "A"</f>
        <v>2024A</v>
      </c>
      <c r="L74" s="102" t="str">
        <f>IF(TRUE,TEXT(2025,"0000"),TEXT(2025,"0000")) &amp; "E"</f>
        <v>2025E</v>
      </c>
      <c r="M74" s="102" t="str">
        <f>IF(TRUE,TEXT(2025+1,"0000"),TEXT(2025+1,"0000")) &amp; "P"</f>
        <v>2026P</v>
      </c>
      <c r="N74" s="129"/>
      <c r="O74" s="36"/>
      <c r="Q74" s="98"/>
    </row>
    <row r="75" spans="2:17" s="36" customFormat="1" ht="4.5" customHeight="1" x14ac:dyDescent="0.25">
      <c r="C75" s="79"/>
      <c r="N75" s="80"/>
      <c r="P75"/>
      <c r="Q75" s="97"/>
    </row>
    <row r="76" spans="2:17" s="36" customFormat="1" ht="15" customHeight="1" x14ac:dyDescent="0.3">
      <c r="C76" s="79"/>
      <c r="D76" s="84" t="s">
        <v>1033</v>
      </c>
      <c r="H76" s="242"/>
      <c r="I76" s="243"/>
      <c r="J76" s="243"/>
      <c r="K76" s="243"/>
      <c r="L76" s="243"/>
      <c r="M76" s="244"/>
      <c r="N76" s="80"/>
      <c r="P76" s="286"/>
    </row>
    <row r="77" spans="2:17" s="36" customFormat="1" ht="4.5" customHeight="1" x14ac:dyDescent="0.25">
      <c r="C77" s="79"/>
      <c r="N77" s="80"/>
      <c r="P77"/>
    </row>
    <row r="78" spans="2:17" s="36" customFormat="1" ht="15" customHeight="1" x14ac:dyDescent="0.3">
      <c r="C78" s="79"/>
      <c r="D78" s="84" t="s">
        <v>1034</v>
      </c>
      <c r="G78" s="100" t="str">
        <f>CONCATENATE("(Millions",
                               IF(NOT(ISBLANK(_Currency)), CONCATENATE(" of ", _Currency, ")"), ")"))</f>
        <v>(Millions)</v>
      </c>
      <c r="H78" s="229"/>
      <c r="I78" s="245"/>
      <c r="J78" s="245"/>
      <c r="K78" s="245"/>
      <c r="L78" s="245"/>
      <c r="M78" s="246"/>
      <c r="N78" s="80"/>
      <c r="O78" s="98"/>
      <c r="P78" s="286"/>
    </row>
    <row r="79" spans="2:17" s="36" customFormat="1" ht="7.5" customHeight="1" x14ac:dyDescent="0.25">
      <c r="C79" s="79"/>
      <c r="N79" s="80"/>
      <c r="P79"/>
    </row>
    <row r="80" spans="2:17" s="36" customFormat="1" ht="15" hidden="1" customHeight="1" x14ac:dyDescent="0.3">
      <c r="C80" s="79"/>
      <c r="D80" s="357" t="s">
        <v>943</v>
      </c>
      <c r="N80" s="80"/>
      <c r="P80"/>
    </row>
    <row r="81" spans="3:16" s="36" customFormat="1" ht="5.0999999999999996" hidden="1" customHeight="1" x14ac:dyDescent="0.3">
      <c r="C81" s="79"/>
      <c r="D81" s="169"/>
      <c r="N81" s="80"/>
      <c r="P81"/>
    </row>
    <row r="82" spans="3:16" s="36" customFormat="1" ht="15" hidden="1" customHeight="1" x14ac:dyDescent="0.3">
      <c r="C82" s="79"/>
      <c r="D82" s="358" t="str">
        <f>IF(SUM(H76:K76)&gt;0,
_xlfn.CONCAT("Please categorize the ",SUM(H76:K76),IF(SUM(H76:K76)=1," acquisition"," acquisitions")," your firm made over the past 4 years by the annualized revenue of the firms acquired."),"Details only required for firms with past acquisitions entered above. Please skip to the next section.")</f>
        <v>Details only required for firms with past acquisitions entered above. Please skip to the next section.</v>
      </c>
      <c r="N82" s="80"/>
      <c r="P82" s="286"/>
    </row>
    <row r="83" spans="3:16" s="36" customFormat="1" ht="5.0999999999999996" hidden="1" customHeight="1" x14ac:dyDescent="0.3">
      <c r="C83" s="79"/>
      <c r="D83" s="173"/>
      <c r="N83" s="80"/>
      <c r="P83" s="286"/>
    </row>
    <row r="84" spans="3:16" s="36" customFormat="1" ht="15" hidden="1" customHeight="1" x14ac:dyDescent="0.25">
      <c r="C84" s="79"/>
      <c r="F84" s="98"/>
      <c r="G84" s="98"/>
      <c r="H84" s="98"/>
      <c r="I84" s="359"/>
      <c r="J84" s="204"/>
      <c r="L84" s="360"/>
      <c r="M84" s="359"/>
      <c r="N84" s="80"/>
      <c r="P84" s="282"/>
    </row>
    <row r="85" spans="3:16" s="36" customFormat="1" ht="15" hidden="1" customHeight="1" x14ac:dyDescent="0.3">
      <c r="C85" s="79"/>
      <c r="F85" s="361" t="s">
        <v>983</v>
      </c>
      <c r="G85" s="362"/>
      <c r="I85" s="361" t="s">
        <v>984</v>
      </c>
      <c r="J85" s="362"/>
      <c r="K85" s="359"/>
      <c r="L85" s="361" t="s">
        <v>985</v>
      </c>
      <c r="M85" s="362"/>
      <c r="N85" s="80"/>
      <c r="P85" s="286"/>
    </row>
    <row r="86" spans="3:16" s="36" customFormat="1" ht="5.0999999999999996" hidden="1" customHeight="1" x14ac:dyDescent="0.3">
      <c r="C86" s="79"/>
      <c r="F86" s="98"/>
      <c r="G86" s="98"/>
      <c r="I86" s="102"/>
      <c r="K86" s="102"/>
      <c r="M86" s="102"/>
      <c r="N86" s="80"/>
      <c r="P86"/>
    </row>
    <row r="87" spans="3:16" s="36" customFormat="1" ht="15" hidden="1" customHeight="1" thickBot="1" x14ac:dyDescent="0.35">
      <c r="C87" s="79"/>
      <c r="D87" s="192" t="s">
        <v>978</v>
      </c>
      <c r="E87" s="140"/>
      <c r="F87" s="278" t="s">
        <v>982</v>
      </c>
      <c r="G87" s="277" t="str">
        <f>IF(COUNT(G89:G92)&gt;0, SUM(G89:G92), "")</f>
        <v/>
      </c>
      <c r="H87" s="275"/>
      <c r="I87" s="278" t="s">
        <v>982</v>
      </c>
      <c r="J87" s="277" t="str">
        <f>IF(COUNT(J89:J92)&gt;0, SUM(J89:J92), "")</f>
        <v/>
      </c>
      <c r="K87" s="275"/>
      <c r="L87" s="278" t="s">
        <v>982</v>
      </c>
      <c r="M87" s="277" t="str">
        <f>IF(COUNT(M89:M92)&gt;0, SUM(M89:M92), "")</f>
        <v/>
      </c>
      <c r="N87" s="80"/>
      <c r="P87" s="286" t="str">
        <f>IF(SUM(G87, J87, M87)&gt;SUM(H76:K76),
    _xlfn.CONCAT(SUM(G87, J87, M87), " acqs. entered in Row ", ROW(D87), ", but only ", SUM(H76:K76), " in Row ", ROW(D76), "."), "OK")</f>
        <v>OK</v>
      </c>
    </row>
    <row r="88" spans="3:16" s="36" customFormat="1" ht="5.0999999999999996" hidden="1" customHeight="1" x14ac:dyDescent="0.3">
      <c r="C88" s="79"/>
      <c r="D88" s="126"/>
      <c r="F88" s="98"/>
      <c r="G88" s="98"/>
      <c r="H88" s="98"/>
      <c r="N88" s="80"/>
      <c r="P88"/>
    </row>
    <row r="89" spans="3:16" s="36" customFormat="1" ht="15" hidden="1" customHeight="1" x14ac:dyDescent="0.3">
      <c r="C89" s="79"/>
      <c r="D89" s="84" t="s">
        <v>942</v>
      </c>
      <c r="F89" s="98"/>
      <c r="G89" s="98"/>
      <c r="H89" s="98"/>
      <c r="N89" s="80"/>
      <c r="P89" s="286" t="str">
        <f>IF(OR(AND(ISNUMBER(G87), COUNT(G91:G94)&gt;0, G87&lt;&gt;SUM(G91:G94)),
               AND(ISNUMBER(J87), COUNT(J91:J94)&gt;0,  J87&lt;&gt;SUM(J91:J94)),
              AND(ISNUMBER(M87), COUNT(M91:M94)&gt;0,  M87&lt;&gt;SUM(M91:M94))),
           "Totals in Row " &amp; ROW(D87) &amp; " do not match with Rows " &amp; ROW(D91) &amp; "-" &amp; ROW(D94) &amp; ".", "OK")</f>
        <v>OK</v>
      </c>
    </row>
    <row r="90" spans="3:16" s="36" customFormat="1" ht="5.0999999999999996" hidden="1" customHeight="1" x14ac:dyDescent="0.3">
      <c r="C90" s="79"/>
      <c r="D90" s="126"/>
      <c r="F90" s="98"/>
      <c r="G90" s="98"/>
      <c r="H90" s="98"/>
      <c r="N90" s="80"/>
      <c r="P90"/>
    </row>
    <row r="91" spans="3:16" s="36" customFormat="1" ht="15" hidden="1" customHeight="1" x14ac:dyDescent="0.3">
      <c r="C91" s="79"/>
      <c r="D91" s="106" t="s">
        <v>556</v>
      </c>
      <c r="E91" s="49"/>
      <c r="F91" s="100" t="s">
        <v>982</v>
      </c>
      <c r="G91" s="280"/>
      <c r="H91" s="182"/>
      <c r="I91" s="100" t="s">
        <v>982</v>
      </c>
      <c r="J91" s="280"/>
      <c r="L91" s="100" t="s">
        <v>982</v>
      </c>
      <c r="M91" s="280"/>
      <c r="N91" s="80"/>
      <c r="P91"/>
    </row>
    <row r="92" spans="3:16" s="36" customFormat="1" ht="15" hidden="1" customHeight="1" x14ac:dyDescent="0.3">
      <c r="C92" s="79"/>
      <c r="D92" s="106" t="s">
        <v>557</v>
      </c>
      <c r="E92" s="49"/>
      <c r="F92" s="100" t="s">
        <v>982</v>
      </c>
      <c r="G92" s="280"/>
      <c r="H92" s="182"/>
      <c r="I92" s="100" t="s">
        <v>982</v>
      </c>
      <c r="J92" s="280"/>
      <c r="L92" s="100" t="s">
        <v>982</v>
      </c>
      <c r="M92" s="280"/>
      <c r="N92" s="80"/>
      <c r="P92"/>
    </row>
    <row r="93" spans="3:16" s="36" customFormat="1" ht="15" hidden="1" customHeight="1" x14ac:dyDescent="0.3">
      <c r="C93" s="79"/>
      <c r="D93" s="106" t="s">
        <v>558</v>
      </c>
      <c r="E93" s="49"/>
      <c r="F93" s="100" t="s">
        <v>982</v>
      </c>
      <c r="G93" s="280"/>
      <c r="H93" s="182"/>
      <c r="I93" s="100" t="s">
        <v>982</v>
      </c>
      <c r="J93" s="280"/>
      <c r="L93" s="100" t="s">
        <v>982</v>
      </c>
      <c r="M93" s="280"/>
      <c r="N93" s="80"/>
      <c r="P93"/>
    </row>
    <row r="94" spans="3:16" s="36" customFormat="1" ht="15" hidden="1" customHeight="1" x14ac:dyDescent="0.3">
      <c r="C94" s="79"/>
      <c r="D94" s="106" t="s">
        <v>559</v>
      </c>
      <c r="E94" s="49"/>
      <c r="F94" s="100" t="s">
        <v>982</v>
      </c>
      <c r="G94" s="280"/>
      <c r="H94" s="182"/>
      <c r="I94" s="100" t="s">
        <v>982</v>
      </c>
      <c r="J94" s="280"/>
      <c r="L94" s="100" t="s">
        <v>982</v>
      </c>
      <c r="M94" s="280"/>
      <c r="N94" s="80"/>
      <c r="P94"/>
    </row>
    <row r="95" spans="3:16" s="36" customFormat="1" ht="5.0999999999999996" hidden="1" customHeight="1" x14ac:dyDescent="0.25">
      <c r="C95" s="79"/>
      <c r="D95" s="98"/>
      <c r="E95" s="98"/>
      <c r="F95" s="98"/>
      <c r="G95" s="98"/>
      <c r="H95" s="98"/>
      <c r="I95" s="98"/>
      <c r="J95" s="98"/>
      <c r="K95" s="98"/>
      <c r="M95" s="98"/>
      <c r="N95" s="80"/>
      <c r="P95"/>
    </row>
    <row r="96" spans="3:16" s="36" customFormat="1" ht="35.1" hidden="1" customHeight="1" x14ac:dyDescent="0.3">
      <c r="C96" s="79"/>
      <c r="D96" s="475" t="s">
        <v>1027</v>
      </c>
      <c r="E96" s="475"/>
      <c r="F96" s="474"/>
      <c r="G96" s="474"/>
      <c r="H96" s="98"/>
      <c r="I96" s="474"/>
      <c r="J96" s="474"/>
      <c r="L96" s="474"/>
      <c r="M96" s="474"/>
      <c r="N96" s="80"/>
      <c r="P96"/>
    </row>
    <row r="97" spans="1:17" s="36" customFormat="1" ht="7.5" hidden="1" customHeight="1" x14ac:dyDescent="0.25">
      <c r="C97" s="79"/>
      <c r="D97" s="98"/>
      <c r="E97" s="98"/>
      <c r="F97" s="98"/>
      <c r="G97" s="98"/>
      <c r="H97" s="98"/>
      <c r="I97" s="98"/>
      <c r="J97" s="98"/>
      <c r="K97" s="98"/>
      <c r="M97" s="98"/>
      <c r="N97" s="80"/>
      <c r="P97"/>
    </row>
    <row r="98" spans="1:17" s="36" customFormat="1" ht="35.1" hidden="1" customHeight="1" x14ac:dyDescent="0.3">
      <c r="C98" s="79"/>
      <c r="D98" s="475" t="s">
        <v>1026</v>
      </c>
      <c r="E98" s="475"/>
      <c r="F98" s="100" t="s">
        <v>900</v>
      </c>
      <c r="G98" s="241"/>
      <c r="I98" s="100" t="s">
        <v>900</v>
      </c>
      <c r="J98" s="241"/>
      <c r="L98" s="100" t="s">
        <v>900</v>
      </c>
      <c r="M98" s="241"/>
      <c r="N98" s="80"/>
      <c r="P98"/>
    </row>
    <row r="99" spans="1:17" s="36" customFormat="1" ht="5.0999999999999996" hidden="1" customHeight="1" x14ac:dyDescent="0.25">
      <c r="C99" s="79"/>
      <c r="N99" s="80"/>
      <c r="P99"/>
    </row>
    <row r="100" spans="1:17" s="36" customFormat="1" ht="35.1" hidden="1" customHeight="1" x14ac:dyDescent="0.3">
      <c r="C100" s="79"/>
      <c r="D100" s="476" t="s">
        <v>981</v>
      </c>
      <c r="E100" s="276" t="s">
        <v>75</v>
      </c>
      <c r="F100" s="474"/>
      <c r="G100" s="474"/>
      <c r="H100" s="276" t="s">
        <v>75</v>
      </c>
      <c r="I100" s="474"/>
      <c r="J100" s="474"/>
      <c r="K100" s="276" t="s">
        <v>75</v>
      </c>
      <c r="L100" s="474"/>
      <c r="M100" s="474"/>
      <c r="N100" s="80"/>
      <c r="P100"/>
    </row>
    <row r="101" spans="1:17" customFormat="1" ht="5.0999999999999996" hidden="1" customHeight="1" x14ac:dyDescent="0.25">
      <c r="A101" s="36"/>
      <c r="B101" s="36"/>
      <c r="C101" s="79"/>
      <c r="D101" s="476"/>
      <c r="E101" s="36"/>
      <c r="F101" s="36"/>
      <c r="G101" s="36"/>
      <c r="H101" s="36"/>
      <c r="I101" s="36"/>
      <c r="J101" s="36"/>
      <c r="K101" s="36"/>
      <c r="L101" s="36"/>
      <c r="M101" s="36"/>
      <c r="N101" s="80"/>
      <c r="O101" s="36"/>
      <c r="Q101" s="36"/>
    </row>
    <row r="102" spans="1:17" s="36" customFormat="1" ht="35.1" hidden="1" customHeight="1" x14ac:dyDescent="0.3">
      <c r="C102" s="79"/>
      <c r="D102" s="476"/>
      <c r="E102" s="276" t="s">
        <v>611</v>
      </c>
      <c r="F102" s="474"/>
      <c r="G102" s="474"/>
      <c r="H102" s="276" t="s">
        <v>611</v>
      </c>
      <c r="I102" s="474"/>
      <c r="J102" s="474"/>
      <c r="K102" s="276" t="s">
        <v>611</v>
      </c>
      <c r="L102" s="474"/>
      <c r="M102" s="474"/>
      <c r="N102" s="80"/>
      <c r="P102"/>
    </row>
    <row r="103" spans="1:17" customFormat="1" ht="5.0999999999999996" hidden="1" customHeight="1" x14ac:dyDescent="0.25">
      <c r="A103" s="36"/>
      <c r="B103" s="36"/>
      <c r="C103" s="79"/>
      <c r="D103" s="476"/>
      <c r="E103" s="36"/>
      <c r="F103" s="36"/>
      <c r="G103" s="36"/>
      <c r="H103" s="36"/>
      <c r="I103" s="36"/>
      <c r="J103" s="36"/>
      <c r="K103" s="36"/>
      <c r="L103" s="36"/>
      <c r="M103" s="36"/>
      <c r="N103" s="80"/>
      <c r="O103" s="36"/>
      <c r="Q103" s="36"/>
    </row>
    <row r="104" spans="1:17" s="36" customFormat="1" ht="35.1" hidden="1" customHeight="1" x14ac:dyDescent="0.3">
      <c r="C104" s="79"/>
      <c r="D104" s="476"/>
      <c r="E104" s="276" t="s">
        <v>612</v>
      </c>
      <c r="F104" s="474"/>
      <c r="G104" s="474"/>
      <c r="H104" s="276" t="s">
        <v>612</v>
      </c>
      <c r="I104" s="474"/>
      <c r="J104" s="474"/>
      <c r="K104" s="276" t="s">
        <v>612</v>
      </c>
      <c r="L104" s="474"/>
      <c r="M104" s="474"/>
      <c r="N104" s="80"/>
      <c r="P104"/>
    </row>
    <row r="105" spans="1:17" s="36" customFormat="1" ht="5.0999999999999996" hidden="1" customHeight="1" x14ac:dyDescent="0.25">
      <c r="C105" s="79"/>
      <c r="N105" s="80"/>
      <c r="P105"/>
    </row>
    <row r="106" spans="1:17" s="36" customFormat="1" ht="15" hidden="1" customHeight="1" x14ac:dyDescent="0.3">
      <c r="C106" s="79"/>
      <c r="D106" s="84" t="s">
        <v>928</v>
      </c>
      <c r="E106" s="98"/>
      <c r="F106" s="98"/>
      <c r="G106" s="98"/>
      <c r="H106" s="98"/>
      <c r="I106" s="482"/>
      <c r="J106" s="482"/>
      <c r="K106" s="482"/>
      <c r="L106" s="482"/>
      <c r="M106" s="482"/>
      <c r="N106" s="80"/>
      <c r="P106"/>
    </row>
    <row r="107" spans="1:17" s="36" customFormat="1" ht="5.0999999999999996" hidden="1" customHeight="1" x14ac:dyDescent="0.3">
      <c r="C107" s="79"/>
      <c r="D107" s="58"/>
      <c r="E107" s="58"/>
      <c r="F107" s="58"/>
      <c r="G107" s="55"/>
      <c r="H107" s="75"/>
      <c r="I107" s="75"/>
      <c r="J107" s="75"/>
      <c r="K107" s="75"/>
      <c r="L107" s="58"/>
      <c r="M107" s="58"/>
      <c r="N107" s="80"/>
      <c r="O107" s="58"/>
      <c r="P107" s="282"/>
      <c r="Q107" s="58"/>
    </row>
    <row r="108" spans="1:17" s="36" customFormat="1" ht="15" customHeight="1" x14ac:dyDescent="0.3">
      <c r="C108" s="79"/>
      <c r="D108" s="357" t="s">
        <v>944</v>
      </c>
      <c r="N108" s="80"/>
      <c r="P108"/>
    </row>
    <row r="109" spans="1:17" s="36" customFormat="1" ht="5.0999999999999996" customHeight="1" x14ac:dyDescent="0.3">
      <c r="C109" s="79"/>
      <c r="D109" s="169"/>
      <c r="N109" s="80"/>
      <c r="P109"/>
    </row>
    <row r="110" spans="1:17" s="36" customFormat="1" ht="15" customHeight="1" x14ac:dyDescent="0.3">
      <c r="C110" s="79"/>
      <c r="D110" s="358" t="str">
        <f>IF(SUM(H76:K76)&gt;0,
    "Please provide the following details for your firm's most recent acquisitions (up to 5).",
    "Details only required for firms with past acquisitions entered above. Please skip to the next section.")</f>
        <v>Details only required for firms with past acquisitions entered above. Please skip to the next section.</v>
      </c>
      <c r="N110" s="80"/>
      <c r="P110" s="286"/>
    </row>
    <row r="111" spans="1:17" s="36" customFormat="1" ht="5.0999999999999996" customHeight="1" x14ac:dyDescent="0.3">
      <c r="C111" s="79"/>
      <c r="D111" s="173"/>
      <c r="N111" s="80"/>
      <c r="P111" s="286"/>
    </row>
    <row r="112" spans="1:17" ht="15" customHeight="1" x14ac:dyDescent="0.3">
      <c r="C112" s="79"/>
      <c r="D112" s="36"/>
      <c r="E112" s="36"/>
      <c r="F112" s="36"/>
      <c r="G112" s="36"/>
      <c r="I112" s="102" t="s">
        <v>945</v>
      </c>
      <c r="J112" s="102" t="s">
        <v>946</v>
      </c>
      <c r="K112" s="102" t="s">
        <v>947</v>
      </c>
      <c r="L112" s="102" t="s">
        <v>948</v>
      </c>
      <c r="M112" s="102" t="s">
        <v>949</v>
      </c>
      <c r="N112" s="129"/>
      <c r="O112" s="36"/>
      <c r="Q112" s="98"/>
    </row>
    <row r="113" spans="3:14" ht="5.0999999999999996" customHeight="1" x14ac:dyDescent="0.3">
      <c r="C113" s="79"/>
      <c r="I113" s="279"/>
      <c r="J113" s="279"/>
      <c r="K113" s="279"/>
      <c r="L113" s="279"/>
      <c r="M113" s="279"/>
      <c r="N113" s="103"/>
    </row>
    <row r="114" spans="3:14" ht="15" customHeight="1" x14ac:dyDescent="0.3">
      <c r="C114" s="79"/>
      <c r="D114" s="84" t="s">
        <v>952</v>
      </c>
      <c r="H114" s="100" t="s">
        <v>986</v>
      </c>
      <c r="I114" s="281"/>
      <c r="J114" s="281"/>
      <c r="K114" s="281"/>
      <c r="L114" s="281"/>
      <c r="M114" s="336"/>
      <c r="N114" s="103"/>
    </row>
    <row r="115" spans="3:14" ht="5.0999999999999996" customHeight="1" x14ac:dyDescent="0.3">
      <c r="C115" s="79"/>
      <c r="I115" s="279"/>
      <c r="J115" s="279"/>
      <c r="K115" s="279"/>
      <c r="L115" s="279"/>
      <c r="M115" s="279"/>
      <c r="N115" s="103"/>
    </row>
    <row r="116" spans="3:14" ht="15" customHeight="1" x14ac:dyDescent="0.3">
      <c r="C116" s="79"/>
      <c r="D116" s="84" t="s">
        <v>1287</v>
      </c>
      <c r="H116" s="100" t="s">
        <v>1041</v>
      </c>
      <c r="I116" s="333"/>
      <c r="J116" s="334"/>
      <c r="K116" s="334"/>
      <c r="L116" s="334"/>
      <c r="M116" s="335"/>
      <c r="N116" s="103"/>
    </row>
    <row r="117" spans="3:14" ht="5.0999999999999996" customHeight="1" x14ac:dyDescent="0.3">
      <c r="C117" s="79"/>
      <c r="I117" s="279"/>
      <c r="J117" s="279"/>
      <c r="K117" s="279"/>
      <c r="L117" s="279"/>
      <c r="M117" s="279"/>
      <c r="N117" s="103"/>
    </row>
    <row r="118" spans="3:14" ht="15" customHeight="1" x14ac:dyDescent="0.3">
      <c r="C118" s="79"/>
      <c r="D118" s="84" t="s">
        <v>951</v>
      </c>
      <c r="H118" s="100" t="str">
        <f>CONCATENATE("(Millions",
                               IF(NOT(ISBLANK(_Currency)), CONCATENATE(" of ", _Currency, ")"), ")"))</f>
        <v>(Millions)</v>
      </c>
      <c r="I118" s="247"/>
      <c r="J118" s="245"/>
      <c r="K118" s="245"/>
      <c r="L118" s="245"/>
      <c r="M118" s="246"/>
      <c r="N118" s="103"/>
    </row>
    <row r="119" spans="3:14" ht="5.0999999999999996" customHeight="1" x14ac:dyDescent="0.3">
      <c r="C119" s="79"/>
      <c r="I119" s="279"/>
      <c r="J119" s="279"/>
      <c r="K119" s="279"/>
      <c r="L119" s="279"/>
      <c r="M119" s="279"/>
      <c r="N119" s="103"/>
    </row>
    <row r="120" spans="3:14" ht="15" customHeight="1" x14ac:dyDescent="0.3">
      <c r="C120" s="79"/>
      <c r="D120" s="84" t="s">
        <v>1300</v>
      </c>
      <c r="H120" s="100" t="str">
        <f>CONCATENATE("(Millions",
                               IF(NOT(ISBLANK(_Currency)), CONCATENATE(" of ", _Currency, ")"), ")"))</f>
        <v>(Millions)</v>
      </c>
      <c r="I120" s="247"/>
      <c r="J120" s="245"/>
      <c r="K120" s="245"/>
      <c r="L120" s="245"/>
      <c r="M120" s="246"/>
      <c r="N120" s="103"/>
    </row>
    <row r="121" spans="3:14" ht="5.0999999999999996" customHeight="1" x14ac:dyDescent="0.3">
      <c r="C121" s="79"/>
      <c r="I121" s="279"/>
      <c r="J121" s="279"/>
      <c r="K121" s="279"/>
      <c r="L121" s="279"/>
      <c r="M121" s="279"/>
      <c r="N121" s="103"/>
    </row>
    <row r="122" spans="3:14" ht="15" customHeight="1" x14ac:dyDescent="0.3">
      <c r="C122" s="79"/>
      <c r="D122" s="84" t="s">
        <v>1314</v>
      </c>
      <c r="H122" s="100" t="str">
        <f>CONCATENATE("(Millions",
                               IF(NOT(ISBLANK(_Currency)), CONCATENATE(" of ", _Currency, ")"), ")"))</f>
        <v>(Millions)</v>
      </c>
      <c r="I122" s="247"/>
      <c r="J122" s="245"/>
      <c r="K122" s="245"/>
      <c r="L122" s="245"/>
      <c r="M122" s="246"/>
      <c r="N122" s="103"/>
    </row>
    <row r="123" spans="3:14" ht="5.0999999999999996" customHeight="1" x14ac:dyDescent="0.3">
      <c r="C123" s="79"/>
      <c r="I123" s="279"/>
      <c r="J123" s="279"/>
      <c r="K123" s="279"/>
      <c r="L123" s="279"/>
      <c r="M123" s="279"/>
      <c r="N123" s="103"/>
    </row>
    <row r="124" spans="3:14" ht="15" customHeight="1" x14ac:dyDescent="0.3">
      <c r="C124" s="79"/>
      <c r="D124" s="84" t="s">
        <v>953</v>
      </c>
      <c r="H124" s="100" t="s">
        <v>950</v>
      </c>
      <c r="I124" s="247"/>
      <c r="J124" s="245"/>
      <c r="K124" s="245"/>
      <c r="L124" s="245"/>
      <c r="M124" s="246"/>
      <c r="N124" s="103"/>
    </row>
    <row r="125" spans="3:14" ht="5.0999999999999996" customHeight="1" x14ac:dyDescent="0.3">
      <c r="C125" s="79"/>
      <c r="I125" s="279"/>
      <c r="J125" s="279"/>
      <c r="K125" s="279"/>
      <c r="L125" s="279"/>
      <c r="M125" s="279"/>
      <c r="N125" s="103"/>
    </row>
    <row r="126" spans="3:14" ht="15" customHeight="1" x14ac:dyDescent="0.3">
      <c r="C126" s="79"/>
      <c r="D126" s="84" t="s">
        <v>1039</v>
      </c>
      <c r="H126" s="100" t="s">
        <v>950</v>
      </c>
      <c r="I126" s="247"/>
      <c r="J126" s="245"/>
      <c r="K126" s="245"/>
      <c r="L126" s="245"/>
      <c r="M126" s="246"/>
      <c r="N126" s="103"/>
    </row>
    <row r="127" spans="3:14" ht="5.0999999999999996" customHeight="1" x14ac:dyDescent="0.3">
      <c r="C127" s="79"/>
      <c r="I127" s="279"/>
      <c r="J127" s="279"/>
      <c r="K127" s="279"/>
      <c r="L127" s="279"/>
      <c r="M127" s="279"/>
      <c r="N127" s="103"/>
    </row>
    <row r="128" spans="3:14" ht="15" customHeight="1" x14ac:dyDescent="0.3">
      <c r="C128" s="79"/>
      <c r="D128" s="84" t="s">
        <v>1040</v>
      </c>
      <c r="H128" s="100" t="s">
        <v>950</v>
      </c>
      <c r="I128" s="247"/>
      <c r="J128" s="245"/>
      <c r="K128" s="245"/>
      <c r="L128" s="245"/>
      <c r="M128" s="246"/>
      <c r="N128" s="103"/>
    </row>
    <row r="129" spans="3:16" ht="5.0999999999999996" customHeight="1" x14ac:dyDescent="0.25">
      <c r="C129" s="79"/>
      <c r="N129" s="103"/>
    </row>
    <row r="130" spans="3:16" ht="15" customHeight="1" x14ac:dyDescent="0.3">
      <c r="C130" s="79"/>
      <c r="D130" s="84" t="s">
        <v>1308</v>
      </c>
      <c r="H130" s="100" t="s">
        <v>1309</v>
      </c>
      <c r="I130" s="370"/>
      <c r="J130" s="371"/>
      <c r="K130" s="371"/>
      <c r="L130" s="371"/>
      <c r="M130" s="372"/>
      <c r="N130" s="103"/>
    </row>
    <row r="131" spans="3:16" ht="5.0999999999999996" customHeight="1" x14ac:dyDescent="0.25">
      <c r="C131" s="79"/>
      <c r="N131" s="103"/>
    </row>
    <row r="132" spans="3:16" customFormat="1" ht="15" customHeight="1" x14ac:dyDescent="0.3">
      <c r="C132" s="29"/>
      <c r="D132" s="84" t="s">
        <v>1301</v>
      </c>
      <c r="E132" s="36"/>
      <c r="F132" s="36"/>
      <c r="G132" s="36"/>
      <c r="H132" s="100"/>
      <c r="I132" s="126"/>
      <c r="J132" s="126"/>
      <c r="K132" s="36"/>
      <c r="L132" s="36"/>
      <c r="M132" s="36"/>
      <c r="N132" s="331"/>
    </row>
    <row r="133" spans="3:16" customFormat="1" ht="5.0999999999999996" customHeight="1" x14ac:dyDescent="0.3">
      <c r="C133" s="29"/>
      <c r="D133" s="36"/>
      <c r="E133" s="36"/>
      <c r="F133" s="36"/>
      <c r="G133" s="36"/>
      <c r="H133" s="126"/>
      <c r="I133" s="126"/>
      <c r="J133" s="126"/>
      <c r="K133" s="36"/>
      <c r="L133" s="36"/>
      <c r="M133" s="36"/>
      <c r="N133" s="331"/>
    </row>
    <row r="134" spans="3:16" customFormat="1" ht="15" customHeight="1" x14ac:dyDescent="0.3">
      <c r="C134" s="29"/>
      <c r="D134" s="373" t="s">
        <v>80</v>
      </c>
      <c r="E134" s="36"/>
      <c r="F134" s="36"/>
      <c r="G134" s="36"/>
      <c r="H134" s="100" t="s">
        <v>1305</v>
      </c>
      <c r="I134" s="367"/>
      <c r="J134" s="368"/>
      <c r="K134" s="368"/>
      <c r="L134" s="368"/>
      <c r="M134" s="369"/>
      <c r="N134" s="331"/>
    </row>
    <row r="135" spans="3:16" customFormat="1" ht="5.0999999999999996" customHeight="1" x14ac:dyDescent="0.3">
      <c r="C135" s="29"/>
      <c r="D135" s="36"/>
      <c r="E135" s="36"/>
      <c r="F135" s="36"/>
      <c r="G135" s="36"/>
      <c r="H135" s="126"/>
      <c r="I135" s="126"/>
      <c r="J135" s="126"/>
      <c r="K135" s="36"/>
      <c r="L135" s="36"/>
      <c r="M135" s="36"/>
      <c r="N135" s="331"/>
    </row>
    <row r="136" spans="3:16" customFormat="1" ht="15" customHeight="1" x14ac:dyDescent="0.3">
      <c r="C136" s="29"/>
      <c r="D136" s="373" t="s">
        <v>1302</v>
      </c>
      <c r="E136" s="36"/>
      <c r="F136" s="36"/>
      <c r="G136" s="36"/>
      <c r="H136" s="100" t="s">
        <v>1305</v>
      </c>
      <c r="I136" s="367"/>
      <c r="J136" s="368"/>
      <c r="K136" s="368"/>
      <c r="L136" s="368"/>
      <c r="M136" s="369"/>
      <c r="N136" s="331"/>
    </row>
    <row r="137" spans="3:16" customFormat="1" ht="5.0999999999999996" customHeight="1" x14ac:dyDescent="0.3">
      <c r="C137" s="29"/>
      <c r="D137" s="36"/>
      <c r="E137" s="36"/>
      <c r="F137" s="36"/>
      <c r="G137" s="36"/>
      <c r="H137" s="126"/>
      <c r="I137" s="126"/>
      <c r="J137" s="126"/>
      <c r="K137" s="36"/>
      <c r="L137" s="36"/>
      <c r="M137" s="36"/>
      <c r="N137" s="331"/>
    </row>
    <row r="138" spans="3:16" customFormat="1" ht="15" customHeight="1" x14ac:dyDescent="0.3">
      <c r="C138" s="29"/>
      <c r="D138" s="373" t="s">
        <v>1303</v>
      </c>
      <c r="E138" s="36"/>
      <c r="F138" s="36"/>
      <c r="G138" s="36"/>
      <c r="H138" s="100" t="s">
        <v>1305</v>
      </c>
      <c r="I138" s="367"/>
      <c r="J138" s="368"/>
      <c r="K138" s="368"/>
      <c r="L138" s="368"/>
      <c r="M138" s="369"/>
      <c r="N138" s="331"/>
    </row>
    <row r="139" spans="3:16" customFormat="1" ht="5.0999999999999996" customHeight="1" x14ac:dyDescent="0.3">
      <c r="C139" s="29"/>
      <c r="D139" s="36"/>
      <c r="E139" s="36"/>
      <c r="F139" s="36"/>
      <c r="G139" s="36"/>
      <c r="H139" s="126"/>
      <c r="I139" s="126"/>
      <c r="J139" s="126"/>
      <c r="K139" s="36"/>
      <c r="L139" s="36"/>
      <c r="M139" s="36"/>
      <c r="N139" s="331"/>
    </row>
    <row r="140" spans="3:16" customFormat="1" ht="15" customHeight="1" x14ac:dyDescent="0.3">
      <c r="C140" s="29"/>
      <c r="D140" s="373" t="s">
        <v>1304</v>
      </c>
      <c r="E140" s="36"/>
      <c r="F140" s="36"/>
      <c r="G140" s="36"/>
      <c r="H140" s="100" t="s">
        <v>1305</v>
      </c>
      <c r="I140" s="367"/>
      <c r="J140" s="368"/>
      <c r="K140" s="368"/>
      <c r="L140" s="368"/>
      <c r="M140" s="369"/>
      <c r="N140" s="331"/>
    </row>
    <row r="141" spans="3:16" customFormat="1" ht="7.5" customHeight="1" x14ac:dyDescent="0.3">
      <c r="C141" s="29"/>
      <c r="D141" s="36"/>
      <c r="E141" s="36"/>
      <c r="F141" s="36"/>
      <c r="G141" s="36"/>
      <c r="H141" s="126"/>
      <c r="I141" s="126"/>
      <c r="J141" s="126"/>
      <c r="K141" s="36"/>
      <c r="L141" s="36"/>
      <c r="M141" s="36"/>
      <c r="N141" s="331"/>
    </row>
    <row r="142" spans="3:16" s="36" customFormat="1" ht="18.75" customHeight="1" x14ac:dyDescent="0.3">
      <c r="C142" s="79"/>
      <c r="D142" s="169" t="s">
        <v>954</v>
      </c>
      <c r="N142" s="80"/>
      <c r="P142"/>
    </row>
    <row r="143" spans="3:16" s="36" customFormat="1" ht="7.5" customHeight="1" x14ac:dyDescent="0.3">
      <c r="C143" s="79"/>
      <c r="D143" s="169"/>
      <c r="N143" s="80"/>
      <c r="P143"/>
    </row>
    <row r="144" spans="3:16" ht="15" customHeight="1" x14ac:dyDescent="0.3">
      <c r="C144" s="79"/>
      <c r="D144" s="84" t="s">
        <v>955</v>
      </c>
      <c r="N144" s="103"/>
    </row>
    <row r="145" spans="3:16" ht="7.5" customHeight="1" x14ac:dyDescent="0.25">
      <c r="C145" s="79"/>
      <c r="N145" s="103"/>
    </row>
    <row r="146" spans="3:16" ht="15" customHeight="1" x14ac:dyDescent="0.3">
      <c r="C146" s="79"/>
      <c r="F146" s="100" t="s">
        <v>956</v>
      </c>
      <c r="G146" s="261"/>
      <c r="J146" s="190" t="s">
        <v>959</v>
      </c>
      <c r="K146" s="261"/>
      <c r="N146" s="103"/>
    </row>
    <row r="147" spans="3:16" ht="7.5" customHeight="1" x14ac:dyDescent="0.25">
      <c r="C147" s="79"/>
      <c r="N147" s="103"/>
    </row>
    <row r="148" spans="3:16" ht="15" customHeight="1" x14ac:dyDescent="0.3">
      <c r="C148" s="79"/>
      <c r="F148" s="100" t="s">
        <v>957</v>
      </c>
      <c r="G148" s="261"/>
      <c r="J148" s="190" t="s">
        <v>958</v>
      </c>
      <c r="K148" s="261"/>
      <c r="N148" s="103"/>
    </row>
    <row r="149" spans="3:16" ht="7.5" hidden="1" customHeight="1" x14ac:dyDescent="0.25">
      <c r="C149" s="79"/>
      <c r="N149" s="103"/>
    </row>
    <row r="150" spans="3:16" ht="15" hidden="1" customHeight="1" x14ac:dyDescent="0.3">
      <c r="C150" s="79"/>
      <c r="F150" s="100" t="s">
        <v>1335</v>
      </c>
      <c r="G150" s="261"/>
      <c r="J150" s="190" t="s">
        <v>1334</v>
      </c>
      <c r="K150" s="365"/>
      <c r="N150" s="103"/>
    </row>
    <row r="151" spans="3:16" ht="7.5" hidden="1" customHeight="1" x14ac:dyDescent="0.25">
      <c r="C151" s="79"/>
      <c r="N151" s="103"/>
    </row>
    <row r="152" spans="3:16" ht="15" hidden="1" customHeight="1" x14ac:dyDescent="0.3">
      <c r="C152" s="79"/>
      <c r="D152" s="169" t="s">
        <v>1306</v>
      </c>
      <c r="E152"/>
      <c r="F152"/>
      <c r="G152"/>
      <c r="H152"/>
      <c r="I152"/>
      <c r="J152"/>
      <c r="K152"/>
      <c r="L152"/>
      <c r="M152"/>
      <c r="N152" s="103"/>
    </row>
    <row r="153" spans="3:16" s="36" customFormat="1" ht="5.0999999999999996" hidden="1" customHeight="1" x14ac:dyDescent="0.3">
      <c r="C153" s="79"/>
      <c r="D153" s="169"/>
      <c r="N153" s="80"/>
      <c r="P153"/>
    </row>
    <row r="154" spans="3:16" ht="15" hidden="1" customHeight="1" x14ac:dyDescent="0.3">
      <c r="C154" s="79"/>
      <c r="D154" s="84" t="s">
        <v>1307</v>
      </c>
      <c r="E154"/>
      <c r="F154"/>
      <c r="G154"/>
      <c r="H154"/>
      <c r="I154"/>
      <c r="J154"/>
      <c r="K154"/>
      <c r="L154"/>
      <c r="M154"/>
      <c r="N154" s="103"/>
    </row>
    <row r="155" spans="3:16" ht="7.5" hidden="1" customHeight="1" x14ac:dyDescent="0.25">
      <c r="C155" s="79"/>
      <c r="N155" s="103"/>
    </row>
    <row r="156" spans="3:16" ht="15" hidden="1" customHeight="1" x14ac:dyDescent="0.3">
      <c r="C156" s="79"/>
      <c r="D156"/>
      <c r="E156"/>
      <c r="F156" s="480" t="s">
        <v>180</v>
      </c>
      <c r="G156" s="480"/>
      <c r="H156" s="480" t="s">
        <v>1310</v>
      </c>
      <c r="I156" s="480"/>
      <c r="J156" s="480" t="s">
        <v>1042</v>
      </c>
      <c r="K156" s="480"/>
      <c r="L156" s="480" t="s">
        <v>638</v>
      </c>
      <c r="M156" s="480"/>
      <c r="N156" s="103"/>
    </row>
    <row r="157" spans="3:16" ht="7.5" hidden="1" customHeight="1" x14ac:dyDescent="0.25">
      <c r="C157" s="79"/>
      <c r="N157" s="103"/>
    </row>
    <row r="158" spans="3:16" ht="15" hidden="1" customHeight="1" x14ac:dyDescent="0.3">
      <c r="C158" s="79"/>
      <c r="D158" s="429" t="s">
        <v>1311</v>
      </c>
      <c r="E158"/>
      <c r="F158" s="479"/>
      <c r="G158" s="479"/>
      <c r="H158" s="478"/>
      <c r="I158" s="479"/>
      <c r="J158" s="478"/>
      <c r="K158" s="481"/>
      <c r="L158" s="478"/>
      <c r="M158" s="479"/>
      <c r="N158" s="103"/>
    </row>
    <row r="159" spans="3:16" ht="7.5" hidden="1" customHeight="1" x14ac:dyDescent="0.25">
      <c r="C159" s="79"/>
      <c r="N159" s="103"/>
    </row>
    <row r="160" spans="3:16" ht="15" hidden="1" customHeight="1" x14ac:dyDescent="0.3">
      <c r="C160" s="79"/>
      <c r="D160" s="429" t="s">
        <v>1313</v>
      </c>
      <c r="E160"/>
      <c r="F160" s="479"/>
      <c r="G160" s="479"/>
      <c r="H160" s="478"/>
      <c r="I160" s="479"/>
      <c r="J160" s="478"/>
      <c r="K160" s="481"/>
      <c r="L160" s="478"/>
      <c r="M160" s="479"/>
      <c r="N160" s="103"/>
    </row>
    <row r="161" spans="2:16" ht="7.5" hidden="1" customHeight="1" x14ac:dyDescent="0.25">
      <c r="C161" s="79"/>
      <c r="N161" s="103"/>
    </row>
    <row r="162" spans="2:16" ht="15" hidden="1" customHeight="1" x14ac:dyDescent="0.3">
      <c r="C162" s="79"/>
      <c r="D162" s="429" t="s">
        <v>1312</v>
      </c>
      <c r="E162"/>
      <c r="F162" s="479"/>
      <c r="G162" s="479"/>
      <c r="H162" s="478"/>
      <c r="I162" s="479"/>
      <c r="J162" s="478"/>
      <c r="K162" s="481"/>
      <c r="L162" s="478"/>
      <c r="M162" s="479"/>
      <c r="N162" s="103"/>
    </row>
    <row r="163" spans="2:16" ht="7.5" customHeight="1" x14ac:dyDescent="0.25">
      <c r="C163" s="79"/>
      <c r="N163" s="103"/>
    </row>
    <row r="164" spans="2:16" s="36" customFormat="1" ht="17.45" customHeight="1" x14ac:dyDescent="0.3">
      <c r="B164" s="80"/>
      <c r="C164"/>
      <c r="D164" s="169" t="s">
        <v>78</v>
      </c>
      <c r="E164"/>
      <c r="F164"/>
      <c r="G164"/>
      <c r="H164"/>
      <c r="I164"/>
      <c r="J164"/>
      <c r="K164"/>
      <c r="L164"/>
      <c r="M164"/>
      <c r="N164" s="331"/>
      <c r="P164" s="282"/>
    </row>
    <row r="165" spans="2:16" ht="15" customHeight="1" x14ac:dyDescent="0.25">
      <c r="B165" s="103"/>
      <c r="N165" s="103"/>
    </row>
    <row r="166" spans="2:16" ht="15" customHeight="1" x14ac:dyDescent="0.3">
      <c r="B166" s="103"/>
      <c r="D166" s="448" t="s">
        <v>1605</v>
      </c>
      <c r="E166" s="436"/>
      <c r="F166" s="436"/>
      <c r="G166" s="436"/>
      <c r="H166" s="436"/>
      <c r="I166" s="436"/>
      <c r="J166" s="436"/>
      <c r="K166" s="436"/>
      <c r="L166" s="436"/>
      <c r="M166" s="436"/>
      <c r="N166" s="437"/>
    </row>
    <row r="167" spans="2:16" ht="15" customHeight="1" x14ac:dyDescent="0.3">
      <c r="B167" s="103"/>
      <c r="D167" s="448" t="s">
        <v>1606</v>
      </c>
      <c r="E167" s="436"/>
      <c r="F167" s="436"/>
      <c r="G167" s="143"/>
      <c r="H167" s="436"/>
      <c r="I167" s="438" t="s">
        <v>1609</v>
      </c>
      <c r="J167" s="436"/>
      <c r="K167" s="436"/>
      <c r="L167" s="436"/>
      <c r="M167" s="240"/>
      <c r="N167" s="437"/>
    </row>
    <row r="168" spans="2:16" s="36" customFormat="1" ht="7.5" customHeight="1" x14ac:dyDescent="0.25">
      <c r="C168" s="79"/>
      <c r="N168" s="80"/>
      <c r="P168"/>
    </row>
    <row r="169" spans="2:16" ht="15" customHeight="1" x14ac:dyDescent="0.3">
      <c r="B169" s="103"/>
      <c r="D169" s="448" t="s">
        <v>1605</v>
      </c>
      <c r="E169" s="436"/>
      <c r="F169" s="436"/>
      <c r="G169" s="436"/>
      <c r="H169" s="436"/>
      <c r="I169" s="436"/>
      <c r="J169" s="436"/>
      <c r="K169" s="436"/>
      <c r="L169" s="436"/>
      <c r="M169" s="436"/>
      <c r="N169" s="437"/>
    </row>
    <row r="170" spans="2:16" ht="15" customHeight="1" x14ac:dyDescent="0.3">
      <c r="B170" s="103"/>
      <c r="D170" s="448" t="s">
        <v>1607</v>
      </c>
      <c r="E170" s="436"/>
      <c r="F170" s="436"/>
      <c r="G170" s="143"/>
      <c r="H170" s="436"/>
      <c r="I170" s="438" t="s">
        <v>1434</v>
      </c>
      <c r="J170" s="436"/>
      <c r="K170" s="436"/>
      <c r="L170" s="436"/>
      <c r="M170" s="240"/>
      <c r="N170" s="437"/>
    </row>
    <row r="171" spans="2:16" ht="15" hidden="1" customHeight="1" x14ac:dyDescent="0.25">
      <c r="B171" s="103"/>
      <c r="N171" s="103"/>
    </row>
    <row r="172" spans="2:16" ht="18" customHeight="1" x14ac:dyDescent="0.25">
      <c r="C172" s="148"/>
      <c r="D172" s="124"/>
      <c r="E172" s="124"/>
      <c r="F172" s="124"/>
      <c r="G172" s="124"/>
      <c r="H172" s="124"/>
      <c r="I172" s="124"/>
      <c r="J172" s="124"/>
      <c r="K172" s="124"/>
      <c r="L172" s="124"/>
      <c r="M172" s="124"/>
      <c r="N172" s="150"/>
    </row>
    <row r="173" spans="2:16" customFormat="1" ht="15" customHeight="1" x14ac:dyDescent="0.25"/>
    <row r="174" spans="2:16" customFormat="1" ht="7.5" customHeight="1" x14ac:dyDescent="0.25"/>
    <row r="175" spans="2:16" customFormat="1" ht="15" hidden="1" customHeight="1" x14ac:dyDescent="0.25"/>
    <row r="176" spans="2:16" customFormat="1" ht="7.5" hidden="1" customHeight="1" x14ac:dyDescent="0.25"/>
    <row r="177" customFormat="1" ht="15" hidden="1"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sheetData>
  <mergeCells count="39">
    <mergeCell ref="F158:G158"/>
    <mergeCell ref="F160:G160"/>
    <mergeCell ref="F162:G162"/>
    <mergeCell ref="F156:G156"/>
    <mergeCell ref="H158:I158"/>
    <mergeCell ref="H160:I160"/>
    <mergeCell ref="H162:I162"/>
    <mergeCell ref="H156:I156"/>
    <mergeCell ref="I106:M106"/>
    <mergeCell ref="I96:J96"/>
    <mergeCell ref="L96:M96"/>
    <mergeCell ref="I100:J100"/>
    <mergeCell ref="I102:J102"/>
    <mergeCell ref="I104:J104"/>
    <mergeCell ref="L100:M100"/>
    <mergeCell ref="L102:M102"/>
    <mergeCell ref="L158:M158"/>
    <mergeCell ref="L160:M160"/>
    <mergeCell ref="L162:M162"/>
    <mergeCell ref="L156:M156"/>
    <mergeCell ref="J158:K158"/>
    <mergeCell ref="J160:K160"/>
    <mergeCell ref="J162:K162"/>
    <mergeCell ref="J156:K156"/>
    <mergeCell ref="L46:M46"/>
    <mergeCell ref="E28:F28"/>
    <mergeCell ref="H28:I28"/>
    <mergeCell ref="K28:L28"/>
    <mergeCell ref="L104:M104"/>
    <mergeCell ref="D96:E96"/>
    <mergeCell ref="D98:E98"/>
    <mergeCell ref="F100:G100"/>
    <mergeCell ref="F102:G102"/>
    <mergeCell ref="F96:G96"/>
    <mergeCell ref="D100:D104"/>
    <mergeCell ref="F104:G104"/>
    <mergeCell ref="I72:M72"/>
    <mergeCell ref="L70:M70"/>
    <mergeCell ref="L52:M52"/>
  </mergeCells>
  <conditionalFormatting sqref="D82 D110">
    <cfRule type="expression" dxfId="106" priority="66">
      <formula>NOT(SUM($H$76:$K$76)&gt;0)</formula>
    </cfRule>
  </conditionalFormatting>
  <conditionalFormatting sqref="F102">
    <cfRule type="expression" dxfId="105" priority="52">
      <formula>NOT(SUM($H$76:$K$76)&gt;0)</formula>
    </cfRule>
  </conditionalFormatting>
  <conditionalFormatting sqref="F104">
    <cfRule type="expression" dxfId="104" priority="51">
      <formula>NOT(SUM($H$76:$K$76)&gt;0)</formula>
    </cfRule>
  </conditionalFormatting>
  <conditionalFormatting sqref="G87">
    <cfRule type="expression" dxfId="103" priority="61">
      <formula>NOT(SUM($H$76:$K$76)&gt;0)</formula>
    </cfRule>
  </conditionalFormatting>
  <conditionalFormatting sqref="G91:G94 J91:J94 M91:M94 F96 I96 L96 G98 J98 M98 F100 I114:M114 I118:M118 I124:M124">
    <cfRule type="expression" dxfId="102" priority="65">
      <formula>NOT(SUM($H$76:$L$76)&gt;0)</formula>
    </cfRule>
  </conditionalFormatting>
  <conditionalFormatting sqref="H64 M64 H66 M66 H68 M68 I72:M72">
    <cfRule type="expression" dxfId="101" priority="4">
      <formula>NOT($M$62="Yes")</formula>
    </cfRule>
  </conditionalFormatting>
  <conditionalFormatting sqref="H78:M78">
    <cfRule type="expression" dxfId="100" priority="379">
      <formula>NOT(H76&gt;0)</formula>
    </cfRule>
  </conditionalFormatting>
  <conditionalFormatting sqref="I100">
    <cfRule type="expression" dxfId="99" priority="50">
      <formula>NOT(SUM($H$76:$K$76)&gt;0)</formula>
    </cfRule>
  </conditionalFormatting>
  <conditionalFormatting sqref="I102">
    <cfRule type="expression" dxfId="98" priority="49">
      <formula>NOT(SUM($H$76:$K$76)&gt;0)</formula>
    </cfRule>
  </conditionalFormatting>
  <conditionalFormatting sqref="I104">
    <cfRule type="expression" dxfId="97" priority="48">
      <formula>NOT(SUM($H$76:$K$76)&gt;0)</formula>
    </cfRule>
  </conditionalFormatting>
  <conditionalFormatting sqref="I106:M106">
    <cfRule type="expression" dxfId="96" priority="42">
      <formula>NOT(SUM($G$93,$J$93,$M$93)&gt;0)</formula>
    </cfRule>
  </conditionalFormatting>
  <conditionalFormatting sqref="I116:M116">
    <cfRule type="expression" dxfId="95" priority="33">
      <formula>NOT(SUM($H$76:$L$76)&gt;0)</formula>
    </cfRule>
  </conditionalFormatting>
  <conditionalFormatting sqref="I120:M120">
    <cfRule type="expression" dxfId="94" priority="28">
      <formula>NOT(SUM($H$76:$L$76)&gt;0)</formula>
    </cfRule>
  </conditionalFormatting>
  <conditionalFormatting sqref="I122:M122">
    <cfRule type="expression" dxfId="93" priority="22">
      <formula>NOT(SUM($H$76:$L$76)&gt;0)</formula>
    </cfRule>
  </conditionalFormatting>
  <conditionalFormatting sqref="I126:M126">
    <cfRule type="expression" dxfId="92" priority="37">
      <formula>NOT(SUM($H$76:$L$76)&gt;0)</formula>
    </cfRule>
  </conditionalFormatting>
  <conditionalFormatting sqref="I128:M128">
    <cfRule type="expression" dxfId="91" priority="36">
      <formula>NOT(SUM($H$76:$L$76)&gt;0)</formula>
    </cfRule>
  </conditionalFormatting>
  <conditionalFormatting sqref="I130:M130">
    <cfRule type="expression" dxfId="90" priority="23">
      <formula>NOT(SUM($H$76:$L$76)&gt;0)</formula>
    </cfRule>
  </conditionalFormatting>
  <conditionalFormatting sqref="I134:M134">
    <cfRule type="expression" dxfId="89" priority="27">
      <formula>NOT(SUM($H$76:$L$76)&gt;0)</formula>
    </cfRule>
  </conditionalFormatting>
  <conditionalFormatting sqref="I136:M136">
    <cfRule type="expression" dxfId="88" priority="26">
      <formula>NOT(SUM($H$76:$L$76)&gt;0)</formula>
    </cfRule>
  </conditionalFormatting>
  <conditionalFormatting sqref="I138:M138">
    <cfRule type="expression" dxfId="87" priority="25">
      <formula>NOT(SUM($H$76:$L$76)&gt;0)</formula>
    </cfRule>
  </conditionalFormatting>
  <conditionalFormatting sqref="I140:M140">
    <cfRule type="expression" dxfId="86" priority="24">
      <formula>NOT(SUM($H$76:$L$76)&gt;0)</formula>
    </cfRule>
  </conditionalFormatting>
  <conditionalFormatting sqref="J34 M34 J36 M36 J38 M38">
    <cfRule type="expression" dxfId="85" priority="97">
      <formula>NOT($M$32&gt;0)</formula>
    </cfRule>
  </conditionalFormatting>
  <conditionalFormatting sqref="J87">
    <cfRule type="expression" dxfId="84" priority="44">
      <formula>NOT(SUM($H$76:$K$76)&gt;0)</formula>
    </cfRule>
  </conditionalFormatting>
  <conditionalFormatting sqref="L46">
    <cfRule type="expression" dxfId="83" priority="15">
      <formula>NOT(M44="Yes")</formula>
    </cfRule>
  </conditionalFormatting>
  <conditionalFormatting sqref="L52">
    <cfRule type="expression" dxfId="82" priority="18">
      <formula>NOT(M50="Yes")</formula>
    </cfRule>
  </conditionalFormatting>
  <conditionalFormatting sqref="L100">
    <cfRule type="expression" dxfId="81" priority="47">
      <formula>NOT(SUM($H$76:$K$76)&gt;0)</formula>
    </cfRule>
  </conditionalFormatting>
  <conditionalFormatting sqref="L102">
    <cfRule type="expression" dxfId="80" priority="46">
      <formula>NOT(SUM($H$76:$K$76)&gt;0)</formula>
    </cfRule>
  </conditionalFormatting>
  <conditionalFormatting sqref="L104">
    <cfRule type="expression" dxfId="79" priority="45">
      <formula>NOT(SUM($H$76:$K$76)&gt;0)</formula>
    </cfRule>
  </conditionalFormatting>
  <conditionalFormatting sqref="M12">
    <cfRule type="expression" dxfId="78" priority="95">
      <formula>NOT(H12="Yes")</formula>
    </cfRule>
  </conditionalFormatting>
  <conditionalFormatting sqref="M40">
    <cfRule type="expression" dxfId="77" priority="34">
      <formula>NOT($G$40="YES")</formula>
    </cfRule>
  </conditionalFormatting>
  <conditionalFormatting sqref="M48 M54">
    <cfRule type="expression" dxfId="76" priority="6">
      <formula>NOT($M$42="Yes")</formula>
    </cfRule>
  </conditionalFormatting>
  <conditionalFormatting sqref="M64">
    <cfRule type="expression" dxfId="75" priority="5">
      <formula>NOT($H$64="Minority")</formula>
    </cfRule>
  </conditionalFormatting>
  <conditionalFormatting sqref="M68">
    <cfRule type="expression" dxfId="74" priority="7">
      <formula>NOT($H$68="Yes")</formula>
    </cfRule>
  </conditionalFormatting>
  <conditionalFormatting sqref="M87">
    <cfRule type="expression" dxfId="73" priority="43">
      <formula>NOT(SUM($H$76:$K$76)&gt;0)</formula>
    </cfRule>
  </conditionalFormatting>
  <conditionalFormatting sqref="M167">
    <cfRule type="expression" dxfId="72" priority="1">
      <formula>NOT($G$167="Yes")</formula>
    </cfRule>
  </conditionalFormatting>
  <conditionalFormatting sqref="M170">
    <cfRule type="expression" dxfId="71" priority="2">
      <formula>NOT($G$170="Yes")</formula>
    </cfRule>
  </conditionalFormatting>
  <conditionalFormatting sqref="P12 P16 P30 P34 P36 Q75 P76 P87 P89">
    <cfRule type="cellIs" dxfId="70" priority="62" operator="notEqual">
      <formula>"OK"</formula>
    </cfRule>
    <cfRule type="cellIs" dxfId="69" priority="63" operator="equal">
      <formula>"OK"</formula>
    </cfRule>
  </conditionalFormatting>
  <conditionalFormatting sqref="P44">
    <cfRule type="cellIs" dxfId="68" priority="14" operator="equal">
      <formula>"OK"</formula>
    </cfRule>
    <cfRule type="cellIs" dxfId="67" priority="13" operator="notEqual">
      <formula>"OK"</formula>
    </cfRule>
  </conditionalFormatting>
  <conditionalFormatting sqref="P50">
    <cfRule type="cellIs" dxfId="66" priority="17" operator="equal">
      <formula>"OK"</formula>
    </cfRule>
    <cfRule type="cellIs" dxfId="65" priority="16" operator="notEqual">
      <formula>"OK"</formula>
    </cfRule>
  </conditionalFormatting>
  <dataValidations disablePrompts="1" xWindow="663" yWindow="802" count="14">
    <dataValidation type="custom" allowBlank="1" showInputMessage="1" showErrorMessage="1" sqref="M8 M10 M34 J16 M16 M12 J18 M18 M20 M22 J36 M30 M87 M36 J34 M32 H78:M78 G91:G94 J91:J94 M91:M94 H76:M76 I118:M118 G87 J87 J38 I128:M128 I124:M124 I126:M126 I116:M116 I120:M120 I134:M134 I136:M136 I138:M138 I140:M140 I122:M122 M68 M64 H66 M48 M66" xr:uid="{C1E8C894-D588-446F-A8CF-5AA5B228D940}">
      <formula1>ISNUMBER(G8)</formula1>
    </dataValidation>
    <dataValidation type="list" allowBlank="1" showInputMessage="1" showErrorMessage="1" sqref="H12 G146 G148 K146 G40 K148 H70 G150 M50 M44 M62 H68 M42 G170 G167" xr:uid="{B566105A-B00A-4586-AD7D-3C965F1B68DD}">
      <formula1>INDIRECT("Dropdown_YesNo")</formula1>
    </dataValidation>
    <dataValidation type="list" allowBlank="1" showInputMessage="1" showErrorMessage="1" sqref="J27" xr:uid="{554366E8-ADAF-4370-AC5F-0862D4F31809}">
      <formula1>"Chief Technology Officer, Chief Innovation Officer, Multiple Responsible Parties, Other"</formula1>
    </dataValidation>
    <dataValidation type="list" allowBlank="1" showInputMessage="1" showErrorMessage="1" sqref="F96 I96 L96" xr:uid="{0EEE07F6-D2DF-4D9C-80CC-03FFE0DBC07B}">
      <formula1>INDIRECT("Dropdown_AcqPurpose")</formula1>
    </dataValidation>
    <dataValidation type="decimal" operator="greaterThanOrEqual" allowBlank="1" showInputMessage="1" showErrorMessage="1" sqref="G98 J98 M98" xr:uid="{E0861A92-D071-40BB-B0C9-8A8AA97A9335}">
      <formula1>0</formula1>
    </dataValidation>
    <dataValidation type="list" allowBlank="1" showInputMessage="1" showErrorMessage="1" sqref="F104 F100 F102 I104 I100 I102 L104 L100 L102" xr:uid="{2C96BCF1-DF4A-4D90-8A2E-3B1AA37844B6}">
      <formula1>INDIRECT("Dropdown_IntChallenges")</formula1>
    </dataValidation>
    <dataValidation type="date" errorStyle="information" operator="greaterThan" allowBlank="1" showInputMessage="1" showErrorMessage="1" error="Please enter as mm/dd/yyyy." prompt="Please enter as mm/dd/yyyy." sqref="I114:M114" xr:uid="{52274552-FADA-4535-9635-00507A3407BA}">
      <formula1>1</formula1>
    </dataValidation>
    <dataValidation type="list" allowBlank="1" showInputMessage="1" showErrorMessage="1" sqref="I130:M130" xr:uid="{08DD2E58-DA5C-4C84-BF79-03DADBDE4739}">
      <formula1>Dropdown_Sectors</formula1>
    </dataValidation>
    <dataValidation type="list" allowBlank="1" showInputMessage="1" showErrorMessage="1" sqref="F158 F160 F162" xr:uid="{71BB0F76-86E8-4BF7-AE5A-44E9ABD4F6F4}">
      <formula1>"Under 25,25-75,75-150,150-250,Over 250"</formula1>
    </dataValidation>
    <dataValidation type="list" allowBlank="1" showInputMessage="1" showErrorMessage="1" sqref="H158 H160 H162" xr:uid="{180A8623-5CD3-4BCC-BDC3-9AAD5A6B6B20}">
      <formula1>"Consulting/Eng.,Architecture,CEI/Inspection,Construction Mgmt.,Program Management,General Construction,E/P/C &amp; E/P/CM,Remedial Env. Construction,Survey/Geomatics/Geospatial,Ops &amp; Maintenance,Geotech Lab/Material Testing,Other"</formula1>
    </dataValidation>
    <dataValidation type="list" allowBlank="1" showInputMessage="1" showErrorMessage="1" sqref="J158 J160 J162" xr:uid="{32F43B71-062F-4248-8C79-4DA596B4F8BD}">
      <formula1>"US - New England / NY/NJ / Mid-Atlantic,US - Southeast / South/Gulf Coast,US - Midwest / Great Lakes, US - Rockies / Southwest / Northwest / California, Canada,Rest of Americas,Europe,Africa,Central/West Asia,South/East Asia,Oceania"</formula1>
    </dataValidation>
    <dataValidation type="list" allowBlank="1" showInputMessage="1" showErrorMessage="1" sqref="H64" xr:uid="{F8DA986C-91B4-4C8D-A7BF-9602704EFC34}">
      <formula1>INDIRECT("Dropdown_MajorityMinority")</formula1>
    </dataValidation>
    <dataValidation type="list" allowBlank="1" showInputMessage="1" showErrorMessage="1" sqref="M54" xr:uid="{D9B2B5BD-F4B2-4F76-93CA-1E2A1E1C60F2}">
      <formula1>INDIRECT("Dropdown_SubscriptionOrSoftwareProfit?")</formula1>
    </dataValidation>
    <dataValidation type="list" allowBlank="1" showInputMessage="1" showErrorMessage="1" sqref="M170 M167" xr:uid="{5C1B0E75-E495-4818-8C52-9ECD378072A6}">
      <formula1>INDIRECT("Dropdown_SetAsideMnADiscount")</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H118" unlockedFormula="1"/>
  </ignoredErrors>
  <legacyDrawing r:id="rId2"/>
  <legacyDrawingHF r:id="rId3"/>
  <extLst>
    <ext xmlns:x14="http://schemas.microsoft.com/office/spreadsheetml/2009/9/main" uri="{CCE6A557-97BC-4b89-ADB6-D9C93CAAB3DF}">
      <x14:dataValidations xmlns:xm="http://schemas.microsoft.com/office/excel/2006/main" disablePrompts="1" xWindow="663" yWindow="802" count="1">
        <x14:dataValidation type="list" allowBlank="1" showInputMessage="1" showErrorMessage="1" xr:uid="{C58E10AB-115B-4776-9328-76DE6DB8B53A}">
          <x14:formula1>
            <xm:f>Dropdowns!$AE$20:$AE$24</xm:f>
          </x14:formula1>
          <xm:sqref>K148 K146 H144:I144 I150 I148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FD15-ADE3-403B-8BAC-1879E82D7065}">
  <sheetPr codeName="Sheet6">
    <pageSetUpPr fitToPage="1"/>
  </sheetPr>
  <dimension ref="A1:U178"/>
  <sheetViews>
    <sheetView showGridLines="0" zoomScale="70" zoomScaleNormal="70" zoomScaleSheetLayoutView="70" workbookViewId="0"/>
  </sheetViews>
  <sheetFormatPr defaultColWidth="0" defaultRowHeight="0" customHeight="1" zeroHeight="1" x14ac:dyDescent="0.25"/>
  <cols>
    <col min="1" max="3" width="2.5703125" style="36" customWidth="1"/>
    <col min="4" max="13" width="18.140625" style="36" customWidth="1"/>
    <col min="14" max="15" width="2.5703125" style="36" customWidth="1"/>
    <col min="16" max="16" width="65.5703125" customWidth="1"/>
    <col min="17" max="17" width="2.5703125" style="36" customWidth="1"/>
    <col min="18" max="16384" width="8.85546875" style="36" hidden="1"/>
  </cols>
  <sheetData>
    <row r="1" spans="2:17" ht="15" customHeight="1" x14ac:dyDescent="0.25">
      <c r="P1" s="282"/>
    </row>
    <row r="2" spans="2:17" ht="7.5" customHeight="1" x14ac:dyDescent="0.35">
      <c r="C2" s="50"/>
      <c r="D2" s="58"/>
      <c r="E2" s="58"/>
      <c r="F2" s="58"/>
      <c r="G2" s="55"/>
      <c r="H2" s="75"/>
      <c r="I2" s="75"/>
      <c r="J2" s="75"/>
      <c r="K2" s="75"/>
      <c r="L2" s="58"/>
      <c r="M2" s="58"/>
      <c r="N2" s="58"/>
      <c r="O2" s="58"/>
      <c r="P2" s="282"/>
      <c r="Q2" s="58"/>
    </row>
    <row r="3" spans="2:17" ht="7.5" customHeight="1" x14ac:dyDescent="0.35">
      <c r="C3" s="59"/>
      <c r="D3" s="60"/>
      <c r="E3" s="61"/>
      <c r="F3" s="62"/>
      <c r="G3" s="63"/>
      <c r="H3" s="63"/>
      <c r="I3" s="64"/>
      <c r="J3" s="64"/>
      <c r="K3" s="63"/>
      <c r="L3" s="65"/>
      <c r="M3" s="66"/>
      <c r="N3" s="67"/>
      <c r="O3" s="58"/>
      <c r="P3" s="282"/>
      <c r="Q3" s="58"/>
    </row>
    <row r="4" spans="2:17" ht="18.75" customHeight="1" x14ac:dyDescent="0.35">
      <c r="C4" s="68"/>
      <c r="D4" s="69" t="s">
        <v>1602</v>
      </c>
      <c r="E4" s="70"/>
      <c r="F4" s="70"/>
      <c r="G4" s="71"/>
      <c r="H4" s="72"/>
      <c r="I4" s="72"/>
      <c r="J4" s="72"/>
      <c r="K4" s="72"/>
      <c r="L4" s="70"/>
      <c r="M4" s="70"/>
      <c r="N4" s="73"/>
      <c r="O4" s="58"/>
      <c r="P4" s="282"/>
      <c r="Q4" s="58"/>
    </row>
    <row r="5" spans="2:17" ht="7.5" customHeight="1" x14ac:dyDescent="0.35">
      <c r="C5" s="74"/>
      <c r="D5" s="58"/>
      <c r="E5" s="58"/>
      <c r="F5" s="58"/>
      <c r="G5" s="55"/>
      <c r="H5" s="75"/>
      <c r="I5" s="75"/>
      <c r="J5" s="75"/>
      <c r="K5" s="75"/>
      <c r="L5" s="58"/>
      <c r="M5" s="58"/>
      <c r="N5" s="76"/>
      <c r="O5" s="58"/>
      <c r="P5" s="282"/>
      <c r="Q5" s="58"/>
    </row>
    <row r="6" spans="2:17" ht="18.75" customHeight="1" x14ac:dyDescent="0.35">
      <c r="B6" s="50"/>
      <c r="C6" s="154"/>
      <c r="D6" s="169" t="s">
        <v>784</v>
      </c>
      <c r="E6" s="156"/>
      <c r="F6" s="157"/>
      <c r="G6" s="157"/>
      <c r="H6" s="157"/>
      <c r="I6" s="157"/>
      <c r="J6" s="157"/>
      <c r="K6" s="158"/>
      <c r="L6" s="155"/>
      <c r="M6" s="237"/>
      <c r="N6" s="184"/>
      <c r="O6" s="155"/>
      <c r="P6" s="432"/>
      <c r="Q6" s="185"/>
    </row>
    <row r="7" spans="2:17" ht="7.5" customHeight="1" x14ac:dyDescent="0.25">
      <c r="C7" s="79"/>
      <c r="N7" s="80"/>
    </row>
    <row r="8" spans="2:17" ht="15" customHeight="1" x14ac:dyDescent="0.3">
      <c r="C8" s="79"/>
      <c r="D8" s="84" t="s">
        <v>565</v>
      </c>
      <c r="G8" s="98"/>
      <c r="I8" s="100" t="s">
        <v>563</v>
      </c>
      <c r="J8" s="111"/>
      <c r="L8" s="100" t="s">
        <v>562</v>
      </c>
      <c r="M8" s="111"/>
      <c r="N8" s="80"/>
      <c r="P8" s="286" t="str">
        <f>IF(AND(NOT(_ESOP?="Yes"), M8&gt;0),
     _xlfn.CONCAT("If an ESOP (or similar) owns stock, please select ", CHAR(34), "yes", CHAR(34), "in Cell ", ADDRESS(ROW('Key Financials'!M12), COLUMN('Key Financials'!M12), 4), " on Page 1."),
"OK")</f>
        <v>OK</v>
      </c>
    </row>
    <row r="9" spans="2:17" ht="7.5" customHeight="1" x14ac:dyDescent="0.25">
      <c r="C9" s="79"/>
      <c r="G9" s="98"/>
      <c r="N9" s="129"/>
    </row>
    <row r="10" spans="2:17" ht="15" customHeight="1" x14ac:dyDescent="0.3">
      <c r="C10" s="79"/>
      <c r="G10" s="98"/>
      <c r="I10" s="100" t="s">
        <v>566</v>
      </c>
      <c r="J10" s="111"/>
      <c r="L10" s="100" t="s">
        <v>564</v>
      </c>
      <c r="M10" s="111"/>
      <c r="N10" s="129"/>
      <c r="P10" s="286" t="str">
        <f>IF(COUNT(J8, M8, J10, M10)&gt;0, IF(SUM(J8, M8, J10, M10)=1, "OK", "Total not 100%."), "OK")</f>
        <v>OK</v>
      </c>
    </row>
    <row r="11" spans="2:17" ht="7.5" customHeight="1" x14ac:dyDescent="0.25">
      <c r="C11" s="79"/>
      <c r="G11" s="98"/>
      <c r="N11" s="129"/>
    </row>
    <row r="12" spans="2:17" ht="15" customHeight="1" x14ac:dyDescent="0.3">
      <c r="C12" s="79"/>
      <c r="D12" s="84" t="s">
        <v>594</v>
      </c>
      <c r="K12" s="98"/>
      <c r="M12" s="111"/>
      <c r="N12" s="129"/>
    </row>
    <row r="13" spans="2:17" ht="7.5" customHeight="1" x14ac:dyDescent="0.25">
      <c r="C13" s="79"/>
      <c r="L13" s="98"/>
      <c r="N13" s="129"/>
    </row>
    <row r="14" spans="2:17" ht="15" customHeight="1" x14ac:dyDescent="0.3">
      <c r="C14" s="79"/>
      <c r="D14" s="84" t="s">
        <v>974</v>
      </c>
      <c r="G14" s="98"/>
      <c r="I14" s="100" t="s">
        <v>567</v>
      </c>
      <c r="J14" s="162"/>
      <c r="L14" s="100" t="s">
        <v>568</v>
      </c>
      <c r="M14" s="162"/>
      <c r="N14" s="129"/>
    </row>
    <row r="15" spans="2:17" ht="7.5" customHeight="1" x14ac:dyDescent="0.25">
      <c r="C15" s="79"/>
      <c r="N15" s="129"/>
    </row>
    <row r="16" spans="2:17" ht="15" customHeight="1" x14ac:dyDescent="0.3">
      <c r="C16" s="79"/>
      <c r="D16" s="84" t="s">
        <v>572</v>
      </c>
      <c r="G16" s="98"/>
      <c r="H16" s="100"/>
      <c r="N16" s="129"/>
    </row>
    <row r="17" spans="2:17" ht="7.5" customHeight="1" x14ac:dyDescent="0.25">
      <c r="C17" s="79"/>
      <c r="N17" s="129"/>
    </row>
    <row r="18" spans="2:17" ht="15" customHeight="1" x14ac:dyDescent="0.3">
      <c r="C18" s="175"/>
      <c r="G18" s="98"/>
      <c r="I18" s="100" t="s">
        <v>569</v>
      </c>
      <c r="J18" s="111"/>
      <c r="L18" s="100" t="s">
        <v>570</v>
      </c>
      <c r="M18" s="111"/>
      <c r="N18" s="129"/>
    </row>
    <row r="19" spans="2:17" ht="7.5" customHeight="1" x14ac:dyDescent="0.25">
      <c r="C19" s="79"/>
      <c r="N19" s="129"/>
    </row>
    <row r="20" spans="2:17" ht="15" customHeight="1" x14ac:dyDescent="0.3">
      <c r="C20" s="79"/>
      <c r="D20" s="84" t="s">
        <v>571</v>
      </c>
      <c r="G20" s="98"/>
      <c r="H20" s="100"/>
      <c r="N20" s="129"/>
    </row>
    <row r="21" spans="2:17" ht="7.5" customHeight="1" x14ac:dyDescent="0.25">
      <c r="C21" s="79"/>
      <c r="N21" s="129"/>
    </row>
    <row r="22" spans="2:17" ht="15" customHeight="1" x14ac:dyDescent="0.3">
      <c r="C22" s="175"/>
      <c r="G22" s="98"/>
      <c r="I22" s="100" t="s">
        <v>569</v>
      </c>
      <c r="J22" s="111"/>
      <c r="L22" s="100" t="s">
        <v>570</v>
      </c>
      <c r="M22" s="111"/>
      <c r="N22" s="129"/>
    </row>
    <row r="23" spans="2:17" ht="7.5" customHeight="1" x14ac:dyDescent="0.25">
      <c r="C23" s="79"/>
      <c r="N23" s="129"/>
    </row>
    <row r="24" spans="2:17" ht="18.75" customHeight="1" x14ac:dyDescent="0.35">
      <c r="B24" s="50"/>
      <c r="C24" s="154"/>
      <c r="D24" s="169" t="s">
        <v>785</v>
      </c>
      <c r="E24" s="156"/>
      <c r="F24" s="157"/>
      <c r="G24" s="157"/>
      <c r="H24" s="157"/>
      <c r="I24" s="157"/>
      <c r="J24" s="157"/>
      <c r="K24" s="158"/>
      <c r="L24" s="155"/>
      <c r="M24" s="155"/>
      <c r="N24" s="184"/>
      <c r="O24" s="155"/>
      <c r="P24" s="432"/>
      <c r="Q24" s="185"/>
    </row>
    <row r="25" spans="2:17" ht="7.5" customHeight="1" x14ac:dyDescent="0.25">
      <c r="C25" s="79"/>
      <c r="N25" s="129"/>
    </row>
    <row r="26" spans="2:17" ht="15" customHeight="1" x14ac:dyDescent="0.3">
      <c r="C26" s="79"/>
      <c r="D26" s="84" t="s">
        <v>911</v>
      </c>
      <c r="G26" s="98"/>
      <c r="I26" s="100" t="s">
        <v>573</v>
      </c>
      <c r="J26" s="108"/>
      <c r="L26" s="100" t="s">
        <v>574</v>
      </c>
      <c r="M26" s="108"/>
      <c r="N26" s="129"/>
    </row>
    <row r="27" spans="2:17" ht="7.5" customHeight="1" x14ac:dyDescent="0.25">
      <c r="C27" s="79"/>
      <c r="N27" s="129"/>
    </row>
    <row r="28" spans="2:17" ht="15" customHeight="1" x14ac:dyDescent="0.3">
      <c r="C28" s="79"/>
      <c r="D28" s="84" t="s">
        <v>912</v>
      </c>
      <c r="G28" s="98"/>
      <c r="I28" s="100" t="s">
        <v>575</v>
      </c>
      <c r="J28" s="108"/>
      <c r="L28" s="100" t="s">
        <v>576</v>
      </c>
      <c r="M28" s="108"/>
      <c r="N28" s="129"/>
    </row>
    <row r="29" spans="2:17" ht="7.5" customHeight="1" x14ac:dyDescent="0.35">
      <c r="C29" s="85"/>
      <c r="D29" s="166"/>
      <c r="E29" s="166"/>
      <c r="F29" s="166"/>
      <c r="G29" s="90"/>
      <c r="H29" s="167"/>
      <c r="I29" s="167"/>
      <c r="J29" s="167"/>
      <c r="K29" s="167"/>
      <c r="L29" s="166"/>
      <c r="M29" s="166"/>
      <c r="N29" s="168"/>
      <c r="O29" s="58"/>
      <c r="P29" s="282"/>
      <c r="Q29" s="58"/>
    </row>
    <row r="30" spans="2:17" ht="7.5" customHeight="1" x14ac:dyDescent="0.35">
      <c r="C30" s="50"/>
      <c r="D30" s="58"/>
      <c r="E30" s="58"/>
      <c r="F30" s="58"/>
      <c r="G30" s="55"/>
      <c r="H30" s="75"/>
      <c r="I30" s="75"/>
      <c r="J30" s="75"/>
      <c r="K30" s="75"/>
      <c r="L30" s="58"/>
      <c r="M30" s="58"/>
      <c r="N30" s="58"/>
      <c r="O30" s="58"/>
      <c r="P30" s="282"/>
      <c r="Q30" s="58"/>
    </row>
    <row r="31" spans="2:17" ht="7.5" customHeight="1" x14ac:dyDescent="0.35">
      <c r="C31" s="59"/>
      <c r="D31" s="60"/>
      <c r="E31" s="61"/>
      <c r="F31" s="62"/>
      <c r="G31" s="63"/>
      <c r="H31" s="63"/>
      <c r="I31" s="64"/>
      <c r="J31" s="64"/>
      <c r="K31" s="63"/>
      <c r="L31" s="65"/>
      <c r="M31" s="66"/>
      <c r="N31" s="67"/>
      <c r="O31" s="58"/>
      <c r="P31" s="282"/>
      <c r="Q31" s="58"/>
    </row>
    <row r="32" spans="2:17" ht="18.75" customHeight="1" x14ac:dyDescent="0.35">
      <c r="C32" s="68"/>
      <c r="D32" s="69" t="s">
        <v>1603</v>
      </c>
      <c r="E32" s="70"/>
      <c r="F32" s="70"/>
      <c r="G32" s="71"/>
      <c r="H32" s="72"/>
      <c r="I32" s="72"/>
      <c r="J32" s="72"/>
      <c r="K32" s="72"/>
      <c r="L32" s="70"/>
      <c r="M32" s="70"/>
      <c r="N32" s="73"/>
      <c r="O32" s="58"/>
      <c r="P32" s="282"/>
      <c r="Q32" s="58"/>
    </row>
    <row r="33" spans="3:17" ht="7.5" customHeight="1" x14ac:dyDescent="0.35">
      <c r="C33" s="74"/>
      <c r="D33" s="58"/>
      <c r="E33" s="58"/>
      <c r="F33" s="58"/>
      <c r="G33" s="55"/>
      <c r="H33" s="75"/>
      <c r="I33" s="75"/>
      <c r="J33" s="75"/>
      <c r="K33" s="75"/>
      <c r="L33" s="58"/>
      <c r="M33" s="58"/>
      <c r="N33" s="76"/>
      <c r="O33" s="58"/>
      <c r="P33" s="282"/>
      <c r="Q33" s="58"/>
    </row>
    <row r="34" spans="3:17" ht="15" customHeight="1" x14ac:dyDescent="0.3">
      <c r="C34" s="79"/>
      <c r="D34" s="84" t="s">
        <v>560</v>
      </c>
      <c r="H34" s="162"/>
      <c r="L34" s="100" t="s">
        <v>561</v>
      </c>
      <c r="M34" s="163"/>
      <c r="N34" s="80"/>
    </row>
    <row r="35" spans="3:17" ht="7.5" customHeight="1" x14ac:dyDescent="0.25">
      <c r="C35" s="79"/>
      <c r="N35" s="80"/>
    </row>
    <row r="36" spans="3:17" ht="15" customHeight="1" x14ac:dyDescent="0.3">
      <c r="C36" s="79"/>
      <c r="D36" s="84" t="s">
        <v>765</v>
      </c>
      <c r="E36" s="98"/>
      <c r="F36" s="98"/>
      <c r="G36" s="98"/>
      <c r="H36" s="164"/>
      <c r="I36" s="98"/>
      <c r="J36" s="98"/>
      <c r="K36" s="98"/>
      <c r="L36" s="98"/>
      <c r="N36" s="80"/>
      <c r="P36" s="282"/>
    </row>
    <row r="55" spans="3:17" ht="7.5" customHeight="1" x14ac:dyDescent="0.25">
      <c r="C55" s="79"/>
      <c r="D55" s="98"/>
      <c r="E55" s="98"/>
      <c r="F55" s="98"/>
      <c r="G55" s="98"/>
      <c r="H55" s="98"/>
      <c r="I55" s="98"/>
      <c r="J55" s="98"/>
      <c r="N55" s="80"/>
      <c r="P55" s="282"/>
    </row>
    <row r="56" spans="3:17" ht="15" hidden="1" customHeight="1" x14ac:dyDescent="0.3">
      <c r="C56" s="79"/>
      <c r="D56" s="84" t="s">
        <v>1348</v>
      </c>
      <c r="H56" s="100"/>
      <c r="I56" s="100"/>
      <c r="J56" s="100"/>
      <c r="K56" s="100"/>
      <c r="L56" s="100"/>
      <c r="M56" s="241"/>
      <c r="N56" s="80"/>
    </row>
    <row r="57" spans="3:17" ht="7.5" hidden="1" customHeight="1" x14ac:dyDescent="0.25">
      <c r="C57" s="79"/>
      <c r="N57" s="80"/>
    </row>
    <row r="58" spans="3:17" ht="15" hidden="1" customHeight="1" x14ac:dyDescent="0.3">
      <c r="C58" s="79"/>
      <c r="D58" s="106" t="s">
        <v>1411</v>
      </c>
      <c r="E58" s="98"/>
      <c r="F58" s="98"/>
      <c r="G58" s="477"/>
      <c r="H58" s="477"/>
      <c r="I58" s="477"/>
      <c r="J58" s="477"/>
      <c r="K58" s="477"/>
      <c r="L58" s="477"/>
      <c r="M58" s="477"/>
      <c r="N58" s="80"/>
      <c r="P58" s="282"/>
    </row>
    <row r="59" spans="3:17" ht="7.5" hidden="1" customHeight="1" x14ac:dyDescent="0.25">
      <c r="C59" s="79"/>
      <c r="D59" s="98"/>
      <c r="E59" s="98"/>
      <c r="F59" s="98"/>
      <c r="G59" s="98"/>
      <c r="H59" s="98"/>
      <c r="I59" s="98"/>
      <c r="J59" s="98"/>
      <c r="N59" s="80"/>
      <c r="P59" s="282"/>
    </row>
    <row r="60" spans="3:17" ht="15" hidden="1" customHeight="1" x14ac:dyDescent="0.3">
      <c r="C60" s="79"/>
      <c r="D60" s="84" t="s">
        <v>1349</v>
      </c>
      <c r="J60" s="98"/>
      <c r="L60" s="100"/>
      <c r="M60" s="241"/>
      <c r="N60" s="80"/>
      <c r="P60" s="282"/>
    </row>
    <row r="61" spans="3:17" ht="7.5" hidden="1" customHeight="1" x14ac:dyDescent="0.25">
      <c r="C61" s="79"/>
      <c r="N61" s="80"/>
    </row>
    <row r="62" spans="3:17" ht="15" hidden="1" customHeight="1" x14ac:dyDescent="0.3">
      <c r="C62" s="79"/>
      <c r="D62" s="106" t="s">
        <v>1412</v>
      </c>
      <c r="E62" s="98"/>
      <c r="G62" s="477"/>
      <c r="H62" s="477"/>
      <c r="I62" s="477"/>
      <c r="J62" s="477"/>
      <c r="K62" s="477"/>
      <c r="L62" s="477"/>
      <c r="M62" s="477"/>
      <c r="N62" s="80"/>
      <c r="P62" s="282"/>
    </row>
    <row r="63" spans="3:17" ht="7.5" customHeight="1" x14ac:dyDescent="0.35">
      <c r="C63" s="85"/>
      <c r="D63" s="166"/>
      <c r="E63" s="166"/>
      <c r="F63" s="166"/>
      <c r="G63" s="90"/>
      <c r="H63" s="167"/>
      <c r="I63" s="167"/>
      <c r="J63" s="167"/>
      <c r="K63" s="167"/>
      <c r="L63" s="166"/>
      <c r="M63" s="166"/>
      <c r="N63" s="168"/>
      <c r="O63" s="58"/>
      <c r="P63" s="282"/>
      <c r="Q63" s="58"/>
    </row>
    <row r="64" spans="3:17" ht="7.5" customHeight="1" x14ac:dyDescent="0.35">
      <c r="C64" s="50"/>
      <c r="D64" s="58"/>
      <c r="E64" s="58"/>
      <c r="F64" s="58"/>
      <c r="G64" s="55"/>
      <c r="H64" s="75"/>
      <c r="I64" s="75"/>
      <c r="J64" s="75"/>
      <c r="K64" s="75"/>
      <c r="L64" s="58"/>
      <c r="M64" s="58"/>
      <c r="N64" s="58"/>
      <c r="O64" s="58"/>
      <c r="P64" s="282"/>
      <c r="Q64" s="58"/>
    </row>
    <row r="65" spans="1:17" ht="7.5" customHeight="1" x14ac:dyDescent="0.35">
      <c r="C65" s="59"/>
      <c r="D65" s="60"/>
      <c r="E65" s="61"/>
      <c r="F65" s="62"/>
      <c r="G65" s="63"/>
      <c r="H65" s="63"/>
      <c r="I65" s="64"/>
      <c r="J65" s="64"/>
      <c r="K65" s="63"/>
      <c r="L65" s="65"/>
      <c r="M65" s="66"/>
      <c r="N65" s="67"/>
      <c r="O65" s="58"/>
      <c r="P65" s="282"/>
      <c r="Q65" s="58"/>
    </row>
    <row r="66" spans="1:17" ht="18.75" customHeight="1" x14ac:dyDescent="0.35">
      <c r="C66" s="68"/>
      <c r="D66" s="69" t="s">
        <v>1604</v>
      </c>
      <c r="E66" s="70"/>
      <c r="F66" s="70"/>
      <c r="G66" s="71"/>
      <c r="H66" s="72"/>
      <c r="I66" s="72"/>
      <c r="J66" s="72"/>
      <c r="K66" s="72"/>
      <c r="L66" s="70"/>
      <c r="M66" s="70"/>
      <c r="N66" s="73"/>
      <c r="O66" s="58"/>
      <c r="P66" s="282"/>
      <c r="Q66" s="58"/>
    </row>
    <row r="67" spans="1:17" ht="7.5" customHeight="1" x14ac:dyDescent="0.35">
      <c r="C67" s="74"/>
      <c r="D67" s="58"/>
      <c r="E67" s="58"/>
      <c r="F67" s="58"/>
      <c r="G67" s="55"/>
      <c r="H67" s="75"/>
      <c r="I67" s="75"/>
      <c r="J67" s="75"/>
      <c r="K67" s="75"/>
      <c r="L67" s="58"/>
      <c r="M67" s="58"/>
      <c r="N67" s="76"/>
      <c r="O67" s="58"/>
      <c r="P67" s="282"/>
      <c r="Q67" s="58"/>
    </row>
    <row r="68" spans="1:17" ht="15" customHeight="1" x14ac:dyDescent="0.3">
      <c r="C68" s="79"/>
      <c r="D68" s="169" t="s">
        <v>786</v>
      </c>
      <c r="L68" s="81"/>
      <c r="N68" s="80"/>
      <c r="P68" s="282"/>
    </row>
    <row r="69" spans="1:17" s="98" customFormat="1" ht="7.5" customHeight="1" x14ac:dyDescent="0.25">
      <c r="A69" s="36"/>
      <c r="C69" s="99"/>
      <c r="D69" s="36"/>
      <c r="E69" s="36"/>
      <c r="F69" s="36"/>
      <c r="G69" s="36"/>
      <c r="H69" s="36"/>
      <c r="I69" s="36"/>
      <c r="J69" s="36"/>
      <c r="K69" s="36"/>
      <c r="L69" s="36"/>
      <c r="M69" s="36"/>
      <c r="N69" s="129"/>
      <c r="O69" s="36"/>
      <c r="P69" s="44"/>
    </row>
    <row r="70" spans="1:17" s="98" customFormat="1" ht="15" customHeight="1" x14ac:dyDescent="0.3">
      <c r="A70" s="36"/>
      <c r="C70" s="79"/>
      <c r="D70" s="84" t="s">
        <v>1370</v>
      </c>
      <c r="E70" s="36"/>
      <c r="F70" s="36"/>
      <c r="G70" s="36"/>
      <c r="H70" s="36"/>
      <c r="I70" s="78" t="s">
        <v>633</v>
      </c>
      <c r="J70" s="162"/>
      <c r="L70" s="78" t="s">
        <v>634</v>
      </c>
      <c r="M70" s="162"/>
      <c r="N70" s="129"/>
      <c r="O70" s="36"/>
      <c r="P70" s="44"/>
    </row>
    <row r="71" spans="1:17" s="98" customFormat="1" ht="7.5" customHeight="1" x14ac:dyDescent="0.3">
      <c r="A71" s="36"/>
      <c r="C71" s="79"/>
      <c r="D71" s="84"/>
      <c r="E71" s="36"/>
      <c r="F71" s="36"/>
      <c r="G71" s="36"/>
      <c r="H71" s="36"/>
      <c r="I71" s="78"/>
      <c r="J71" s="36"/>
      <c r="L71" s="78"/>
      <c r="M71" s="36"/>
      <c r="N71" s="129"/>
      <c r="O71" s="36"/>
      <c r="P71" s="44"/>
    </row>
    <row r="72" spans="1:17" s="98" customFormat="1" ht="15" customHeight="1" x14ac:dyDescent="0.3">
      <c r="A72" s="36"/>
      <c r="C72" s="79"/>
      <c r="D72" s="84" t="s">
        <v>1364</v>
      </c>
      <c r="E72" s="36"/>
      <c r="F72" s="36"/>
      <c r="G72" s="36"/>
      <c r="H72" s="36"/>
      <c r="I72" s="78" t="s">
        <v>633</v>
      </c>
      <c r="J72" s="162"/>
      <c r="L72" s="78"/>
      <c r="M72" s="36"/>
      <c r="N72" s="129"/>
      <c r="O72" s="36"/>
      <c r="P72" s="44"/>
    </row>
    <row r="73" spans="1:17" s="98" customFormat="1" ht="7.5" customHeight="1" x14ac:dyDescent="0.3">
      <c r="A73" s="36"/>
      <c r="C73" s="79"/>
      <c r="D73" s="84"/>
      <c r="E73" s="36"/>
      <c r="F73" s="36"/>
      <c r="G73" s="36"/>
      <c r="H73" s="36"/>
      <c r="I73" s="78"/>
      <c r="J73" s="36"/>
      <c r="L73" s="78"/>
      <c r="M73" s="36"/>
      <c r="N73" s="129"/>
      <c r="O73" s="36"/>
      <c r="P73" s="44"/>
    </row>
    <row r="74" spans="1:17" s="98" customFormat="1" ht="15" customHeight="1" x14ac:dyDescent="0.3">
      <c r="A74" s="36"/>
      <c r="C74" s="79"/>
      <c r="D74" s="356" t="s">
        <v>1363</v>
      </c>
      <c r="E74" s="36"/>
      <c r="F74" s="36"/>
      <c r="G74" s="36"/>
      <c r="H74" s="36"/>
      <c r="I74" s="78"/>
      <c r="J74" s="36"/>
      <c r="L74" s="78"/>
      <c r="M74" s="36"/>
      <c r="N74" s="129"/>
      <c r="O74" s="36"/>
      <c r="P74" s="44"/>
    </row>
    <row r="75" spans="1:17" s="98" customFormat="1" ht="7.5" customHeight="1" x14ac:dyDescent="0.25">
      <c r="A75" s="36"/>
      <c r="C75" s="79"/>
      <c r="D75" s="36"/>
      <c r="E75" s="36"/>
      <c r="F75" s="36"/>
      <c r="G75" s="36"/>
      <c r="H75" s="36"/>
      <c r="I75" s="36"/>
      <c r="J75" s="36"/>
      <c r="K75" s="36"/>
      <c r="L75" s="36"/>
      <c r="M75" s="36"/>
      <c r="N75" s="129"/>
      <c r="O75" s="36"/>
      <c r="P75" s="44"/>
    </row>
    <row r="76" spans="1:17" s="98" customFormat="1" ht="15" customHeight="1" x14ac:dyDescent="0.3">
      <c r="A76" s="36"/>
      <c r="C76" s="99"/>
      <c r="D76" s="84" t="s">
        <v>787</v>
      </c>
      <c r="E76" s="36"/>
      <c r="F76" s="36"/>
      <c r="G76" s="36"/>
      <c r="I76" s="100" t="s">
        <v>596</v>
      </c>
      <c r="J76" s="111"/>
      <c r="K76" s="36"/>
      <c r="L76" s="100" t="s">
        <v>598</v>
      </c>
      <c r="M76" s="111"/>
      <c r="N76" s="129"/>
      <c r="O76" s="36"/>
      <c r="P76" s="44"/>
    </row>
    <row r="77" spans="1:17" s="98" customFormat="1" ht="15" customHeight="1" x14ac:dyDescent="0.3">
      <c r="A77" s="36"/>
      <c r="C77" s="79"/>
      <c r="D77" s="84" t="s">
        <v>788</v>
      </c>
      <c r="E77" s="36"/>
      <c r="F77" s="36"/>
      <c r="G77" s="36"/>
      <c r="I77" s="100" t="s">
        <v>597</v>
      </c>
      <c r="J77" s="326"/>
      <c r="K77" s="36"/>
      <c r="L77" s="100" t="s">
        <v>599</v>
      </c>
      <c r="M77" s="326"/>
      <c r="N77" s="129"/>
      <c r="O77" s="36"/>
      <c r="P77" s="44"/>
    </row>
    <row r="78" spans="1:17" s="98" customFormat="1" ht="7.5" hidden="1" customHeight="1" x14ac:dyDescent="0.3">
      <c r="A78" s="36"/>
      <c r="C78" s="79"/>
      <c r="D78" s="84"/>
      <c r="E78" s="36"/>
      <c r="F78" s="36"/>
      <c r="G78" s="36"/>
      <c r="I78" s="100"/>
      <c r="J78" s="36"/>
      <c r="K78" s="36"/>
      <c r="L78" s="36"/>
      <c r="M78" s="36"/>
      <c r="N78" s="129"/>
      <c r="O78" s="36"/>
      <c r="P78" s="44"/>
    </row>
    <row r="79" spans="1:17" s="98" customFormat="1" ht="15" hidden="1" customHeight="1" x14ac:dyDescent="0.3">
      <c r="A79" s="36"/>
      <c r="C79" s="79"/>
      <c r="D79" s="84" t="str">
        <f>CONCATENATE("What is your average turnover cost per person (in thousands",
                               IF(NOT(ISBLANK(_Currency)), CONCATENATE(" of ", _Currency, ")?"), ")?"))</f>
        <v>What is your average turnover cost per person (in thousands)?</v>
      </c>
      <c r="E79" s="36"/>
      <c r="F79" s="36"/>
      <c r="G79" s="36"/>
      <c r="I79" s="100"/>
      <c r="J79" s="36"/>
      <c r="K79" s="36"/>
      <c r="L79" s="36"/>
      <c r="M79" s="172"/>
      <c r="N79" s="129"/>
      <c r="O79" s="36"/>
      <c r="P79" s="44"/>
    </row>
    <row r="89" spans="1:16" ht="7.5" customHeight="1" x14ac:dyDescent="0.25">
      <c r="C89" s="79"/>
      <c r="N89" s="129"/>
    </row>
    <row r="90" spans="1:16" ht="15" customHeight="1" x14ac:dyDescent="0.3">
      <c r="C90" s="79"/>
      <c r="D90" s="84" t="s">
        <v>831</v>
      </c>
      <c r="I90" s="100" t="s">
        <v>616</v>
      </c>
      <c r="J90" s="111"/>
      <c r="K90" s="170"/>
      <c r="L90" s="171" t="s">
        <v>618</v>
      </c>
      <c r="M90" s="111"/>
      <c r="N90" s="80"/>
      <c r="P90" s="286" t="str">
        <f>IF(COUNT(J90, M90, J91, M91)&gt;0, IF(SUM(J90, M90, J91, M91)=1, "OK", "Total not 100%."), "OK")</f>
        <v>OK</v>
      </c>
    </row>
    <row r="91" spans="1:16" ht="15" customHeight="1" x14ac:dyDescent="0.3">
      <c r="C91" s="79"/>
      <c r="I91" s="100" t="s">
        <v>617</v>
      </c>
      <c r="J91" s="111"/>
      <c r="K91" s="170"/>
      <c r="L91" s="171" t="s">
        <v>619</v>
      </c>
      <c r="M91" s="111"/>
      <c r="N91" s="129"/>
    </row>
    <row r="92" spans="1:16" ht="7.5" customHeight="1" x14ac:dyDescent="0.25">
      <c r="C92" s="79"/>
      <c r="N92" s="129"/>
    </row>
    <row r="93" spans="1:16" ht="18.75" customHeight="1" x14ac:dyDescent="0.3">
      <c r="C93" s="79"/>
      <c r="D93" s="169" t="s">
        <v>1435</v>
      </c>
      <c r="N93" s="129"/>
    </row>
    <row r="94" spans="1:16" s="98" customFormat="1" ht="7.5" customHeight="1" x14ac:dyDescent="0.3">
      <c r="A94" s="36"/>
      <c r="C94" s="79"/>
      <c r="D94" s="84"/>
      <c r="E94" s="36"/>
      <c r="F94" s="36"/>
      <c r="G94" s="36"/>
      <c r="H94" s="36"/>
      <c r="I94" s="78"/>
      <c r="J94" s="36"/>
      <c r="L94" s="78"/>
      <c r="M94" s="36"/>
      <c r="N94" s="129"/>
      <c r="O94" s="36"/>
      <c r="P94" s="44"/>
    </row>
    <row r="95" spans="1:16" s="98" customFormat="1" ht="15" customHeight="1" x14ac:dyDescent="0.3">
      <c r="A95" s="36"/>
      <c r="C95" s="79"/>
      <c r="D95" s="356" t="s">
        <v>1365</v>
      </c>
      <c r="E95" s="36"/>
      <c r="F95" s="36"/>
      <c r="G95" s="36"/>
      <c r="H95" s="36"/>
      <c r="I95" s="78"/>
      <c r="J95" s="36"/>
      <c r="L95" s="78"/>
      <c r="M95" s="36"/>
      <c r="N95" s="129"/>
      <c r="O95" s="36"/>
      <c r="P95" s="44"/>
    </row>
    <row r="96" spans="1:16" ht="7.5" customHeight="1" x14ac:dyDescent="0.25">
      <c r="C96" s="79"/>
      <c r="N96" s="80"/>
    </row>
    <row r="97" spans="3:16" ht="15" customHeight="1" x14ac:dyDescent="0.3">
      <c r="C97" s="79"/>
      <c r="D97" s="84" t="s">
        <v>789</v>
      </c>
      <c r="I97" s="100" t="s">
        <v>635</v>
      </c>
      <c r="J97" s="111"/>
      <c r="L97" s="100" t="s">
        <v>636</v>
      </c>
      <c r="M97" s="111"/>
      <c r="N97" s="80"/>
    </row>
    <row r="98" spans="3:16" ht="15" customHeight="1" x14ac:dyDescent="0.3">
      <c r="C98" s="79"/>
      <c r="D98" s="84" t="s">
        <v>790</v>
      </c>
      <c r="I98" s="100" t="s">
        <v>601</v>
      </c>
      <c r="J98" s="111"/>
      <c r="L98" s="100" t="s">
        <v>182</v>
      </c>
      <c r="M98" s="111"/>
      <c r="N98" s="80"/>
    </row>
    <row r="99" spans="3:16" ht="7.5" customHeight="1" x14ac:dyDescent="0.25">
      <c r="C99" s="79"/>
      <c r="N99" s="80"/>
    </row>
    <row r="100" spans="3:16" ht="15" customHeight="1" x14ac:dyDescent="0.3">
      <c r="C100" s="79"/>
      <c r="D100" s="84" t="s">
        <v>791</v>
      </c>
      <c r="I100" s="100" t="s">
        <v>635</v>
      </c>
      <c r="J100" s="111"/>
      <c r="L100" s="100" t="s">
        <v>636</v>
      </c>
      <c r="M100" s="111"/>
      <c r="N100" s="80"/>
    </row>
    <row r="101" spans="3:16" ht="15" customHeight="1" x14ac:dyDescent="0.3">
      <c r="C101" s="79"/>
      <c r="D101" s="84" t="s">
        <v>790</v>
      </c>
      <c r="I101" s="100" t="s">
        <v>601</v>
      </c>
      <c r="J101" s="111"/>
      <c r="L101" s="100" t="s">
        <v>182</v>
      </c>
      <c r="M101" s="111"/>
      <c r="N101" s="80"/>
    </row>
    <row r="102" spans="3:16" ht="7.5" customHeight="1" x14ac:dyDescent="0.25">
      <c r="C102" s="79"/>
      <c r="N102" s="80"/>
    </row>
    <row r="103" spans="3:16" ht="15" customHeight="1" x14ac:dyDescent="0.3">
      <c r="C103" s="79"/>
      <c r="D103" s="84" t="s">
        <v>975</v>
      </c>
      <c r="I103" s="100" t="s">
        <v>976</v>
      </c>
      <c r="J103" s="111"/>
      <c r="K103" s="170"/>
      <c r="L103" s="171" t="s">
        <v>977</v>
      </c>
      <c r="M103" s="111"/>
      <c r="N103" s="80"/>
    </row>
    <row r="104" spans="3:16" ht="7.5" hidden="1" customHeight="1" x14ac:dyDescent="0.25">
      <c r="C104" s="79"/>
      <c r="N104" s="80"/>
    </row>
    <row r="105" spans="3:16" ht="15" hidden="1" customHeight="1" x14ac:dyDescent="0.3">
      <c r="C105" s="79"/>
      <c r="D105" s="84" t="s">
        <v>602</v>
      </c>
      <c r="H105" s="261"/>
      <c r="L105" s="100" t="str">
        <f>CONCATENATE("What is this initiative's annual cost (in thousands",
                               IF(NOT(ISBLANK(_Currency)), CONCATENATE(" of ", _Currency, ")?"), ")?"))</f>
        <v>What is this initiative's annual cost (in thousands)?</v>
      </c>
      <c r="M105" s="172"/>
      <c r="N105" s="80"/>
      <c r="P105" s="286"/>
    </row>
    <row r="106" spans="3:16" ht="7.5" hidden="1" customHeight="1" x14ac:dyDescent="0.3">
      <c r="C106" s="79"/>
      <c r="D106" s="84"/>
      <c r="L106" s="100"/>
      <c r="N106" s="80"/>
      <c r="P106" s="286"/>
    </row>
    <row r="107" spans="3:16" ht="15" hidden="1" customHeight="1" x14ac:dyDescent="0.3">
      <c r="C107" s="79"/>
      <c r="D107" s="84" t="s">
        <v>1167</v>
      </c>
      <c r="K107" s="484"/>
      <c r="L107" s="484"/>
      <c r="M107" s="484"/>
      <c r="N107" s="129"/>
    </row>
    <row r="108" spans="3:16" ht="7.5" customHeight="1" x14ac:dyDescent="0.25">
      <c r="C108" s="79"/>
      <c r="N108" s="129"/>
    </row>
    <row r="109" spans="3:16" ht="15" customHeight="1" x14ac:dyDescent="0.3">
      <c r="C109" s="79"/>
      <c r="D109" s="84" t="s">
        <v>1436</v>
      </c>
      <c r="I109" s="100" t="s">
        <v>1439</v>
      </c>
      <c r="J109" s="240"/>
      <c r="K109" s="170"/>
      <c r="L109" s="171" t="s">
        <v>1437</v>
      </c>
      <c r="M109" s="240"/>
      <c r="N109" s="80"/>
      <c r="P109" s="286" t="str">
        <f>IF(COUNT(J109, M109, J110, M110)&gt;0, IF(SUM(J109, M109, J110, M110)=1, "OK", "Total not 100%."), "OK")</f>
        <v>OK</v>
      </c>
    </row>
    <row r="110" spans="3:16" ht="15" customHeight="1" x14ac:dyDescent="0.3">
      <c r="C110" s="79"/>
      <c r="I110" s="171" t="s">
        <v>1438</v>
      </c>
      <c r="J110" s="365"/>
      <c r="K110" s="170"/>
      <c r="L110" s="171" t="s">
        <v>1438</v>
      </c>
      <c r="M110" s="365"/>
      <c r="N110" s="129"/>
    </row>
    <row r="111" spans="3:16" ht="7.5" customHeight="1" x14ac:dyDescent="0.25">
      <c r="C111" s="79"/>
      <c r="N111" s="80"/>
      <c r="P111" s="36"/>
    </row>
    <row r="112" spans="3:16" ht="15" hidden="1" customHeight="1" x14ac:dyDescent="0.35">
      <c r="C112" s="79"/>
      <c r="D112" s="349" t="s">
        <v>1351</v>
      </c>
      <c r="E112" s="70"/>
      <c r="F112" s="70"/>
      <c r="G112" s="71"/>
      <c r="I112" s="241"/>
      <c r="J112" s="237" t="str">
        <f>IF('Revenue Details'!I40&lt;&gt;100%, "Please skip -- these questions only for firms doing 100% of their work in the US.", "")</f>
        <v>Please skip -- these questions only for firms doing 100% of their work in the US.</v>
      </c>
      <c r="M112"/>
      <c r="N112" s="80"/>
      <c r="P112" s="36"/>
    </row>
    <row r="113" spans="3:16" ht="7.5" hidden="1" customHeight="1" x14ac:dyDescent="0.25">
      <c r="C113" s="79"/>
      <c r="N113" s="80"/>
      <c r="P113" s="36"/>
    </row>
    <row r="114" spans="3:16" ht="15" hidden="1" customHeight="1" x14ac:dyDescent="0.3">
      <c r="C114" s="79"/>
      <c r="D114" s="353" t="s">
        <v>1352</v>
      </c>
      <c r="N114" s="80"/>
      <c r="P114" s="36"/>
    </row>
    <row r="115" spans="3:16" ht="7.5" hidden="1" customHeight="1" x14ac:dyDescent="0.25">
      <c r="C115" s="79"/>
      <c r="N115" s="80"/>
      <c r="P115" s="36"/>
    </row>
    <row r="116" spans="3:16" ht="15" hidden="1" customHeight="1" x14ac:dyDescent="0.3">
      <c r="C116" s="79"/>
      <c r="D116" s="355" t="s">
        <v>1356</v>
      </c>
      <c r="E116" s="261"/>
      <c r="G116" s="355" t="s">
        <v>1358</v>
      </c>
      <c r="H116" s="261"/>
      <c r="I116" s="355" t="s">
        <v>1353</v>
      </c>
      <c r="J116" s="261"/>
      <c r="L116" s="190" t="s">
        <v>1355</v>
      </c>
      <c r="M116" s="261"/>
      <c r="N116" s="80"/>
      <c r="P116" s="36"/>
    </row>
    <row r="117" spans="3:16" ht="7.5" hidden="1" customHeight="1" x14ac:dyDescent="0.25">
      <c r="C117" s="79"/>
      <c r="N117" s="80"/>
      <c r="P117" s="36"/>
    </row>
    <row r="118" spans="3:16" ht="15" hidden="1" customHeight="1" x14ac:dyDescent="0.3">
      <c r="C118" s="79"/>
      <c r="D118" s="355" t="s">
        <v>1357</v>
      </c>
      <c r="E118" s="261"/>
      <c r="G118" s="355" t="s">
        <v>1359</v>
      </c>
      <c r="H118" s="261"/>
      <c r="I118" s="355" t="s">
        <v>1354</v>
      </c>
      <c r="J118" s="261"/>
      <c r="L118" s="190" t="s">
        <v>1360</v>
      </c>
      <c r="M118" s="261"/>
      <c r="N118" s="80"/>
      <c r="P118" s="36"/>
    </row>
    <row r="119" spans="3:16" ht="7.5" hidden="1" customHeight="1" x14ac:dyDescent="0.25">
      <c r="C119" s="79"/>
      <c r="N119" s="80"/>
      <c r="P119" s="36"/>
    </row>
    <row r="120" spans="3:16" ht="18.75" customHeight="1" x14ac:dyDescent="0.35">
      <c r="C120" s="79"/>
      <c r="D120" s="69" t="s">
        <v>1451</v>
      </c>
      <c r="N120" s="80"/>
      <c r="P120" s="36"/>
    </row>
    <row r="121" spans="3:16" ht="7.5" customHeight="1" x14ac:dyDescent="0.25">
      <c r="C121" s="79"/>
      <c r="N121" s="80"/>
      <c r="P121" s="36"/>
    </row>
    <row r="122" spans="3:16" ht="15" customHeight="1" x14ac:dyDescent="0.3">
      <c r="C122" s="79"/>
      <c r="D122" s="84" t="s">
        <v>1452</v>
      </c>
      <c r="M122" s="241"/>
      <c r="N122" s="80"/>
      <c r="P122" s="36"/>
    </row>
    <row r="123" spans="3:16" ht="7.5" customHeight="1" x14ac:dyDescent="0.25">
      <c r="C123" s="79"/>
      <c r="N123" s="80"/>
      <c r="P123" s="36"/>
    </row>
    <row r="124" spans="3:16" ht="15" customHeight="1" x14ac:dyDescent="0.3">
      <c r="C124" s="79"/>
      <c r="D124" s="84" t="s">
        <v>1453</v>
      </c>
      <c r="I124" s="468"/>
      <c r="J124" s="468"/>
      <c r="K124" s="468"/>
      <c r="L124" s="468"/>
      <c r="M124" s="468"/>
      <c r="N124" s="80"/>
      <c r="P124" s="36"/>
    </row>
    <row r="125" spans="3:16" ht="7.5" customHeight="1" x14ac:dyDescent="0.25">
      <c r="C125" s="79"/>
      <c r="N125" s="80"/>
      <c r="P125" s="36"/>
    </row>
    <row r="126" spans="3:16" ht="15" customHeight="1" x14ac:dyDescent="0.3">
      <c r="C126" s="79"/>
      <c r="D126" s="353" t="s">
        <v>1454</v>
      </c>
      <c r="N126" s="80"/>
      <c r="P126" s="36"/>
    </row>
    <row r="127" spans="3:16" ht="6.75" customHeight="1" x14ac:dyDescent="0.25">
      <c r="C127" s="79"/>
      <c r="N127" s="80"/>
      <c r="P127" s="36"/>
    </row>
    <row r="128" spans="3:16" ht="15" customHeight="1" x14ac:dyDescent="0.3">
      <c r="C128" s="79"/>
      <c r="G128" s="355" t="s">
        <v>1456</v>
      </c>
      <c r="H128" s="261"/>
      <c r="L128" s="355" t="s">
        <v>1457</v>
      </c>
      <c r="M128" s="261"/>
      <c r="N128" s="80"/>
      <c r="P128" s="36"/>
    </row>
    <row r="129" spans="1:16" ht="7.5" customHeight="1" x14ac:dyDescent="0.25">
      <c r="C129" s="79"/>
      <c r="N129" s="80"/>
      <c r="P129" s="36"/>
    </row>
    <row r="130" spans="1:16" ht="15" customHeight="1" x14ac:dyDescent="0.3">
      <c r="C130" s="79"/>
      <c r="G130" s="355" t="s">
        <v>1455</v>
      </c>
      <c r="H130" s="261"/>
      <c r="L130" s="355" t="s">
        <v>1458</v>
      </c>
      <c r="M130" s="261"/>
      <c r="N130" s="80"/>
      <c r="P130" s="36"/>
    </row>
    <row r="131" spans="1:16" ht="6.75" customHeight="1" x14ac:dyDescent="0.25">
      <c r="C131" s="79"/>
      <c r="N131" s="80"/>
      <c r="P131" s="36"/>
    </row>
    <row r="132" spans="1:16" ht="15" customHeight="1" x14ac:dyDescent="0.3">
      <c r="C132" s="79"/>
      <c r="G132" s="355" t="s">
        <v>1460</v>
      </c>
      <c r="H132" s="261"/>
      <c r="L132" s="355" t="s">
        <v>1459</v>
      </c>
      <c r="M132" s="365"/>
      <c r="N132" s="80"/>
      <c r="P132" s="36"/>
    </row>
    <row r="133" spans="1:16" ht="7.5" customHeight="1" x14ac:dyDescent="0.25">
      <c r="C133" s="79"/>
      <c r="N133" s="129"/>
    </row>
    <row r="134" spans="1:16" ht="18.75" customHeight="1" x14ac:dyDescent="0.3">
      <c r="C134" s="79"/>
      <c r="D134" s="169" t="s">
        <v>183</v>
      </c>
      <c r="N134" s="80"/>
    </row>
    <row r="135" spans="1:16" s="98" customFormat="1" ht="7.5" customHeight="1" x14ac:dyDescent="0.3">
      <c r="A135" s="36"/>
      <c r="C135" s="79"/>
      <c r="D135" s="84"/>
      <c r="E135" s="36"/>
      <c r="F135" s="36"/>
      <c r="G135" s="36"/>
      <c r="H135" s="36"/>
      <c r="I135" s="78"/>
      <c r="J135" s="36"/>
      <c r="L135" s="78"/>
      <c r="M135" s="36"/>
      <c r="N135" s="129"/>
      <c r="O135" s="36"/>
      <c r="P135" s="44"/>
    </row>
    <row r="136" spans="1:16" s="98" customFormat="1" ht="15" customHeight="1" x14ac:dyDescent="0.3">
      <c r="A136" s="36"/>
      <c r="C136" s="79"/>
      <c r="D136" s="356" t="s">
        <v>1366</v>
      </c>
      <c r="E136" s="36"/>
      <c r="F136" s="36"/>
      <c r="G136" s="36"/>
      <c r="H136" s="36"/>
      <c r="I136" s="78"/>
      <c r="J136" s="36"/>
      <c r="L136" s="78"/>
      <c r="M136" s="36"/>
      <c r="N136" s="129"/>
      <c r="O136" s="36"/>
      <c r="P136" s="44"/>
    </row>
    <row r="137" spans="1:16" ht="7.5" customHeight="1" x14ac:dyDescent="0.25">
      <c r="C137" s="79"/>
      <c r="N137" s="80"/>
    </row>
    <row r="138" spans="1:16" ht="18.75" customHeight="1" x14ac:dyDescent="0.3">
      <c r="C138" s="79"/>
      <c r="D138" s="173" t="s">
        <v>1266</v>
      </c>
      <c r="N138" s="80"/>
    </row>
    <row r="139" spans="1:16" ht="7.5" customHeight="1" x14ac:dyDescent="0.25">
      <c r="C139" s="79"/>
      <c r="N139" s="80"/>
    </row>
    <row r="140" spans="1:16" ht="15" customHeight="1" x14ac:dyDescent="0.3">
      <c r="C140" s="79"/>
      <c r="D140" s="84" t="str">
        <f>CONCATENATE("What is the median annual base compensation (in thousands",
                               IF(NOT(ISBLANK(_Currency)), CONCATENATE(" of ", _Currency, ") for:"), ") for:"))</f>
        <v>What is the median annual base compensation (in thousands) for:</v>
      </c>
      <c r="I140" s="174" t="s">
        <v>603</v>
      </c>
      <c r="J140" s="172"/>
      <c r="L140" s="174" t="s">
        <v>792</v>
      </c>
      <c r="M140" s="172"/>
      <c r="N140" s="80"/>
      <c r="P140" s="286"/>
    </row>
    <row r="141" spans="1:16" ht="7.5" hidden="1" customHeight="1" x14ac:dyDescent="0.3">
      <c r="C141" s="175"/>
      <c r="G141" s="98"/>
      <c r="N141" s="80"/>
      <c r="P141" s="282"/>
    </row>
    <row r="142" spans="1:16" ht="15" hidden="1" customHeight="1" x14ac:dyDescent="0.3">
      <c r="C142" s="79"/>
      <c r="D142" s="84" t="str">
        <f>CONCATENATE("What is the mean annual base compensation (in thousands",
                               IF(NOT(ISBLANK(_Currency)), CONCATENATE(" of ", _Currency, ") for:"), ") for:"))</f>
        <v>What is the mean annual base compensation (in thousands) for:</v>
      </c>
      <c r="I142" s="174" t="s">
        <v>603</v>
      </c>
      <c r="J142" s="172"/>
      <c r="L142" s="174" t="s">
        <v>792</v>
      </c>
      <c r="M142" s="172"/>
      <c r="N142" s="80"/>
      <c r="P142" s="286"/>
    </row>
    <row r="143" spans="1:16" ht="7.5" customHeight="1" x14ac:dyDescent="0.25">
      <c r="C143" s="79"/>
      <c r="N143" s="80"/>
    </row>
    <row r="144" spans="1:16" ht="15" customHeight="1" x14ac:dyDescent="0.3">
      <c r="C144" s="79"/>
      <c r="D144" s="84" t="s">
        <v>795</v>
      </c>
      <c r="I144" s="174" t="s">
        <v>793</v>
      </c>
      <c r="J144" s="111"/>
      <c r="K144" s="98"/>
      <c r="L144" s="174" t="s">
        <v>794</v>
      </c>
      <c r="M144" s="111"/>
      <c r="N144" s="80"/>
    </row>
    <row r="145" spans="1:21" ht="15" customHeight="1" x14ac:dyDescent="0.3">
      <c r="C145" s="79"/>
      <c r="D145" s="84" t="s">
        <v>796</v>
      </c>
      <c r="I145" s="98"/>
      <c r="J145" s="98"/>
      <c r="K145" s="98"/>
      <c r="L145" s="98"/>
      <c r="M145" s="98"/>
      <c r="N145" s="80"/>
    </row>
    <row r="146" spans="1:21" ht="7.5" customHeight="1" x14ac:dyDescent="0.25">
      <c r="C146" s="79"/>
      <c r="N146" s="80"/>
    </row>
    <row r="147" spans="1:21" ht="15" hidden="1" customHeight="1" x14ac:dyDescent="0.3">
      <c r="C147" s="79"/>
      <c r="D147" s="84" t="s">
        <v>604</v>
      </c>
      <c r="I147" s="98"/>
      <c r="J147" s="98"/>
      <c r="K147" s="98"/>
      <c r="M147" s="111"/>
      <c r="N147" s="80"/>
    </row>
    <row r="148" spans="1:21" ht="7.5" hidden="1" customHeight="1" x14ac:dyDescent="0.25">
      <c r="C148" s="79"/>
      <c r="N148" s="80"/>
    </row>
    <row r="149" spans="1:21" ht="15" customHeight="1" x14ac:dyDescent="0.3">
      <c r="C149" s="79"/>
      <c r="D149" s="84" t="s">
        <v>1430</v>
      </c>
      <c r="I149" s="98"/>
      <c r="J149" s="98"/>
      <c r="K149" s="98"/>
      <c r="M149" s="111"/>
      <c r="N149" s="80"/>
    </row>
    <row r="150" spans="1:21" ht="7.5" customHeight="1" x14ac:dyDescent="0.25">
      <c r="C150" s="79"/>
      <c r="N150" s="80"/>
    </row>
    <row r="151" spans="1:21" ht="18.75" customHeight="1" x14ac:dyDescent="0.3">
      <c r="C151" s="79"/>
      <c r="D151" s="169" t="s">
        <v>605</v>
      </c>
      <c r="N151" s="80"/>
    </row>
    <row r="152" spans="1:21" ht="7.5" customHeight="1" x14ac:dyDescent="0.25">
      <c r="C152" s="79"/>
      <c r="N152" s="80"/>
    </row>
    <row r="153" spans="1:21" ht="18.75" customHeight="1" x14ac:dyDescent="0.3">
      <c r="C153" s="79"/>
      <c r="D153" s="173" t="str">
        <f>_xlfn.CONCAT("Please complete for the 5 highest-paid executives/employees at your firm in ", IF(TRUE,TEXT(2025-1,"0000"),TEXT(2025-1,"0000")), " (in thousands",
IF(NOT(ISBLANK(_Currency)), CONCATENATE(" of ",_Currency,")."), ")."))</f>
        <v>Please complete for the 5 highest-paid executives/employees at your firm in 2024 (in thousands).</v>
      </c>
      <c r="N153" s="80"/>
    </row>
    <row r="154" spans="1:21" ht="7.5" customHeight="1" x14ac:dyDescent="0.25">
      <c r="C154" s="79"/>
      <c r="N154" s="129"/>
    </row>
    <row r="155" spans="1:21" ht="15" customHeight="1" x14ac:dyDescent="0.3">
      <c r="C155" s="176"/>
      <c r="D155" s="98"/>
      <c r="H155" s="177" t="s">
        <v>75</v>
      </c>
      <c r="I155" s="177" t="s">
        <v>611</v>
      </c>
      <c r="J155" s="177" t="s">
        <v>612</v>
      </c>
      <c r="K155" s="177" t="s">
        <v>613</v>
      </c>
      <c r="L155" s="177" t="s">
        <v>606</v>
      </c>
      <c r="N155" s="129"/>
    </row>
    <row r="156" spans="1:21" ht="7.5" customHeight="1" x14ac:dyDescent="0.25">
      <c r="C156" s="79"/>
      <c r="N156" s="129"/>
    </row>
    <row r="157" spans="1:21" ht="15" customHeight="1" x14ac:dyDescent="0.3">
      <c r="C157" s="79"/>
      <c r="D157" s="178" t="s">
        <v>607</v>
      </c>
      <c r="F157" s="100"/>
      <c r="H157" s="248"/>
      <c r="I157" s="249"/>
      <c r="J157" s="249"/>
      <c r="K157" s="249"/>
      <c r="L157" s="249"/>
      <c r="N157" s="80"/>
    </row>
    <row r="158" spans="1:21" ht="7.5" customHeight="1" x14ac:dyDescent="0.25">
      <c r="C158" s="79"/>
      <c r="D158" s="179"/>
      <c r="H158" s="180"/>
      <c r="I158" s="180"/>
      <c r="J158" s="180"/>
      <c r="K158" s="180"/>
      <c r="L158" s="180"/>
      <c r="N158" s="80"/>
    </row>
    <row r="159" spans="1:21" ht="15" customHeight="1" x14ac:dyDescent="0.3">
      <c r="C159" s="79"/>
      <c r="D159" s="178" t="s">
        <v>768</v>
      </c>
      <c r="G159" s="100" t="str">
        <f>CONCATENATE("(Thousands",
                               IF(NOT(ISBLANK(_Currency)), CONCATENATE(" of ", _Currency, ")"), ")"))</f>
        <v>(Thousands)</v>
      </c>
      <c r="H159" s="250"/>
      <c r="I159" s="251"/>
      <c r="J159" s="251"/>
      <c r="K159" s="251"/>
      <c r="L159" s="251"/>
      <c r="N159" s="80"/>
    </row>
    <row r="160" spans="1:21" s="98" customFormat="1" ht="7.5" customHeight="1" x14ac:dyDescent="0.25">
      <c r="A160" s="36"/>
      <c r="C160" s="79"/>
      <c r="D160" s="179"/>
      <c r="H160" s="180"/>
      <c r="I160" s="180"/>
      <c r="J160" s="180"/>
      <c r="K160" s="180"/>
      <c r="L160" s="180"/>
      <c r="M160" s="36"/>
      <c r="N160" s="129"/>
      <c r="O160" s="36"/>
      <c r="P160" s="44"/>
      <c r="U160" s="36"/>
    </row>
    <row r="161" spans="1:21" s="98" customFormat="1" ht="15" customHeight="1" x14ac:dyDescent="0.3">
      <c r="A161" s="36"/>
      <c r="C161" s="99"/>
      <c r="D161" s="178" t="s">
        <v>608</v>
      </c>
      <c r="G161" s="100" t="str">
        <f>CONCATENATE("(Thousands",
                               IF(NOT(ISBLANK(_Currency)), CONCATENATE(" of ", _Currency, ")"), ")"))</f>
        <v>(Thousands)</v>
      </c>
      <c r="H161" s="250"/>
      <c r="I161" s="251"/>
      <c r="J161" s="251"/>
      <c r="K161" s="251"/>
      <c r="L161" s="251"/>
      <c r="M161" s="36"/>
      <c r="N161" s="80"/>
      <c r="O161" s="36"/>
      <c r="P161" s="44"/>
      <c r="U161" s="36"/>
    </row>
    <row r="162" spans="1:21" s="98" customFormat="1" ht="7.5" customHeight="1" x14ac:dyDescent="0.25">
      <c r="A162" s="36"/>
      <c r="C162" s="99"/>
      <c r="D162" s="179"/>
      <c r="H162" s="180"/>
      <c r="I162" s="180"/>
      <c r="J162" s="180"/>
      <c r="K162" s="180"/>
      <c r="L162" s="180"/>
      <c r="M162" s="36"/>
      <c r="N162" s="80"/>
      <c r="O162" s="36"/>
      <c r="P162" s="44"/>
      <c r="U162" s="36"/>
    </row>
    <row r="163" spans="1:21" s="98" customFormat="1" ht="15" customHeight="1" x14ac:dyDescent="0.3">
      <c r="A163" s="36"/>
      <c r="C163" s="99"/>
      <c r="D163" s="178" t="s">
        <v>637</v>
      </c>
      <c r="G163" s="100" t="str">
        <f>CONCATENATE("(Thousands",
                               IF(NOT(ISBLANK(_Currency)), CONCATENATE(" of ", _Currency, ")"), ")"))</f>
        <v>(Thousands)</v>
      </c>
      <c r="H163" s="250"/>
      <c r="I163" s="251"/>
      <c r="J163" s="251"/>
      <c r="K163" s="251"/>
      <c r="L163" s="251"/>
      <c r="M163" s="36"/>
      <c r="N163" s="80"/>
      <c r="O163" s="36"/>
      <c r="P163" s="44"/>
      <c r="U163" s="36"/>
    </row>
    <row r="164" spans="1:21" s="98" customFormat="1" ht="7.5" customHeight="1" x14ac:dyDescent="0.25">
      <c r="A164" s="36"/>
      <c r="C164" s="99"/>
      <c r="D164" s="179"/>
      <c r="H164" s="180"/>
      <c r="I164" s="180"/>
      <c r="J164" s="180"/>
      <c r="K164" s="180"/>
      <c r="L164" s="180"/>
      <c r="M164" s="36"/>
      <c r="N164" s="80"/>
      <c r="O164" s="36"/>
      <c r="P164" s="44"/>
      <c r="U164" s="36"/>
    </row>
    <row r="165" spans="1:21" ht="15" customHeight="1" x14ac:dyDescent="0.3">
      <c r="C165" s="79"/>
      <c r="D165" s="178" t="s">
        <v>609</v>
      </c>
      <c r="G165" s="100" t="str">
        <f>CONCATENATE("(Thousands",
                               IF(NOT(ISBLANK(_Currency)), CONCATENATE(" of ", _Currency, ")"), ")"))</f>
        <v>(Thousands)</v>
      </c>
      <c r="H165" s="250"/>
      <c r="I165" s="251"/>
      <c r="J165" s="251"/>
      <c r="K165" s="251"/>
      <c r="L165" s="251"/>
      <c r="N165" s="80"/>
    </row>
    <row r="166" spans="1:21" ht="7.5" customHeight="1" x14ac:dyDescent="0.25">
      <c r="C166" s="79"/>
      <c r="D166" s="179"/>
      <c r="H166" s="180"/>
      <c r="I166" s="180"/>
      <c r="J166" s="180"/>
      <c r="K166" s="180"/>
      <c r="L166" s="180"/>
      <c r="N166" s="80"/>
    </row>
    <row r="167" spans="1:21" ht="15" customHeight="1" x14ac:dyDescent="0.3">
      <c r="C167" s="79"/>
      <c r="D167" s="178" t="s">
        <v>610</v>
      </c>
      <c r="F167" s="100"/>
      <c r="H167" s="252"/>
      <c r="I167" s="253"/>
      <c r="J167" s="253"/>
      <c r="K167" s="253"/>
      <c r="L167" s="253"/>
      <c r="N167" s="80"/>
    </row>
    <row r="168" spans="1:21" ht="7.5" customHeight="1" x14ac:dyDescent="0.25">
      <c r="C168" s="148"/>
      <c r="D168" s="118"/>
      <c r="E168" s="118"/>
      <c r="F168" s="118"/>
      <c r="G168" s="118"/>
      <c r="H168" s="118"/>
      <c r="I168" s="118"/>
      <c r="J168" s="118"/>
      <c r="K168" s="118"/>
      <c r="L168" s="118"/>
      <c r="M168" s="118"/>
      <c r="N168" s="181"/>
    </row>
    <row r="169" spans="1:21" ht="7.5" customHeight="1" x14ac:dyDescent="0.25"/>
    <row r="170" spans="1:21" ht="7.5" customHeight="1" x14ac:dyDescent="0.35">
      <c r="C170" s="59"/>
      <c r="D170" s="60"/>
      <c r="E170" s="61"/>
      <c r="F170" s="62"/>
      <c r="G170" s="63"/>
      <c r="H170" s="63"/>
      <c r="I170" s="64"/>
      <c r="J170" s="64"/>
      <c r="K170" s="63"/>
      <c r="L170" s="65"/>
      <c r="M170" s="66"/>
      <c r="N170" s="67"/>
      <c r="O170" s="58"/>
      <c r="P170" s="282"/>
      <c r="Q170" s="58"/>
    </row>
    <row r="171" spans="1:21" ht="18.75" customHeight="1" x14ac:dyDescent="0.35">
      <c r="C171" s="68"/>
      <c r="D171" s="69" t="s">
        <v>620</v>
      </c>
      <c r="E171" s="70"/>
      <c r="F171" s="70"/>
      <c r="G171" s="71"/>
      <c r="H171" s="72"/>
      <c r="I171" s="72"/>
      <c r="J171" s="72"/>
      <c r="K171" s="72"/>
      <c r="L171" s="70"/>
      <c r="M171" s="70"/>
      <c r="N171" s="73"/>
      <c r="O171" s="58"/>
      <c r="P171" s="282"/>
      <c r="Q171" s="58"/>
    </row>
    <row r="172" spans="1:21" ht="7.5" customHeight="1" x14ac:dyDescent="0.25">
      <c r="C172" s="79"/>
      <c r="N172" s="80"/>
    </row>
    <row r="173" spans="1:21" ht="15" customHeight="1" x14ac:dyDescent="0.3">
      <c r="C173" s="79"/>
      <c r="D173" s="84" t="s">
        <v>963</v>
      </c>
      <c r="N173" s="80"/>
    </row>
    <row r="174" spans="1:21" ht="7.5" customHeight="1" x14ac:dyDescent="0.25">
      <c r="C174" s="79"/>
      <c r="N174" s="80"/>
    </row>
    <row r="175" spans="1:21" ht="35.1" customHeight="1" x14ac:dyDescent="0.25">
      <c r="C175" s="79"/>
      <c r="D175" s="483"/>
      <c r="E175" s="483"/>
      <c r="F175" s="483"/>
      <c r="G175" s="483"/>
      <c r="H175" s="483"/>
      <c r="I175" s="483"/>
      <c r="J175" s="483"/>
      <c r="K175" s="483"/>
      <c r="L175" s="483"/>
      <c r="N175" s="80"/>
    </row>
    <row r="176" spans="1:21" ht="7.5" customHeight="1" x14ac:dyDescent="0.25">
      <c r="C176" s="148"/>
      <c r="D176" s="118"/>
      <c r="E176" s="118"/>
      <c r="F176" s="118"/>
      <c r="G176" s="118"/>
      <c r="H176" s="118"/>
      <c r="I176" s="118"/>
      <c r="J176" s="118"/>
      <c r="K176" s="118"/>
      <c r="L176" s="118"/>
      <c r="M176" s="118"/>
      <c r="N176" s="181"/>
    </row>
    <row r="177" ht="14.45" customHeight="1" x14ac:dyDescent="0.25"/>
    <row r="178" ht="14.45" customHeight="1" x14ac:dyDescent="0.25"/>
  </sheetData>
  <mergeCells count="5">
    <mergeCell ref="D175:L175"/>
    <mergeCell ref="K107:M107"/>
    <mergeCell ref="G58:M58"/>
    <mergeCell ref="G62:M62"/>
    <mergeCell ref="I124:M124"/>
  </mergeCells>
  <conditionalFormatting sqref="H128 M128 H130 M130 H132 M132">
    <cfRule type="expression" dxfId="64" priority="2">
      <formula>NOT($I$124="Yes – it directly benefits the employee and/or the team providing the resources")</formula>
    </cfRule>
  </conditionalFormatting>
  <conditionalFormatting sqref="M8">
    <cfRule type="expression" dxfId="62" priority="17">
      <formula>NOT(_ESOP?="Yes")</formula>
    </cfRule>
  </conditionalFormatting>
  <conditionalFormatting sqref="M34">
    <cfRule type="expression" dxfId="61" priority="374">
      <formula>NOT(#REF!&gt;0)</formula>
    </cfRule>
  </conditionalFormatting>
  <conditionalFormatting sqref="M105">
    <cfRule type="expression" dxfId="60" priority="37">
      <formula>NOT($H$105="Yes")</formula>
    </cfRule>
  </conditionalFormatting>
  <conditionalFormatting sqref="N135:N136">
    <cfRule type="cellIs" dxfId="59" priority="9" operator="notEqual">
      <formula>"OK"</formula>
    </cfRule>
    <cfRule type="cellIs" dxfId="58" priority="10" operator="equal">
      <formula>"OK"</formula>
    </cfRule>
  </conditionalFormatting>
  <conditionalFormatting sqref="P1:P5">
    <cfRule type="cellIs" dxfId="57" priority="20" operator="equal">
      <formula>"OK"</formula>
    </cfRule>
    <cfRule type="cellIs" dxfId="56" priority="21" operator="notEqual">
      <formula>"OK"</formula>
    </cfRule>
  </conditionalFormatting>
  <conditionalFormatting sqref="P8 N9:N23 P10 N25:N28">
    <cfRule type="cellIs" dxfId="55" priority="28" operator="notEqual">
      <formula>"OK"</formula>
    </cfRule>
    <cfRule type="cellIs" dxfId="54" priority="29" operator="equal">
      <formula>"OK"</formula>
    </cfRule>
  </conditionalFormatting>
  <conditionalFormatting sqref="P29:P33">
    <cfRule type="cellIs" dxfId="53" priority="18" operator="equal">
      <formula>"OK"</formula>
    </cfRule>
    <cfRule type="cellIs" dxfId="52" priority="19" operator="notEqual">
      <formula>"OK"</formula>
    </cfRule>
  </conditionalFormatting>
  <conditionalFormatting sqref="P36 P55 P58:P60 N69:N79 N89 P90 N91:N95 P105:P106 N107:N108 P109 N110 N133 P140:P142 N154:N156 N160">
    <cfRule type="cellIs" dxfId="51" priority="44" operator="notEqual">
      <formula>"OK"</formula>
    </cfRule>
    <cfRule type="cellIs" dxfId="50" priority="45" operator="equal">
      <formula>"OK"</formula>
    </cfRule>
  </conditionalFormatting>
  <conditionalFormatting sqref="P62:P68">
    <cfRule type="cellIs" dxfId="49" priority="31" operator="equal">
      <formula>"OK"</formula>
    </cfRule>
    <cfRule type="cellIs" dxfId="48" priority="32" operator="notEqual">
      <formula>"OK"</formula>
    </cfRule>
  </conditionalFormatting>
  <conditionalFormatting sqref="Q6">
    <cfRule type="cellIs" dxfId="47" priority="26" operator="notEqual">
      <formula>"OK"</formula>
    </cfRule>
    <cfRule type="cellIs" dxfId="46" priority="27" operator="equal">
      <formula>"OK"</formula>
    </cfRule>
  </conditionalFormatting>
  <conditionalFormatting sqref="Q24">
    <cfRule type="cellIs" dxfId="45" priority="22" operator="notEqual">
      <formula>"OK"</formula>
    </cfRule>
    <cfRule type="cellIs" dxfId="44" priority="23" operator="equal">
      <formula>"OK"</formula>
    </cfRule>
  </conditionalFormatting>
  <dataValidations disablePrompts="1" count="9">
    <dataValidation type="custom" allowBlank="1" showInputMessage="1" showErrorMessage="1" sqref="M34 H34 M149 M79 M70 M76:M77 M90:M91 J72 J103 M142 J140 H161:L161 M140 M147 J90:J91 H159:L159 J142 H165:L165 H167:L167 H163:L163 M144 J144 J26 M22 M26 J22 J18 M28 J28 J8 J10 M8 M10 M12 J14 M14 M18 M103 J76:J77 J70 M105 J97:J98 M97:M98 J100:J101 M100:M101 H36" xr:uid="{E38385F7-3BBB-4AFA-8D3D-8A97808FB6CB}">
      <formula1>ISNUMBER(H8)</formula1>
    </dataValidation>
    <dataValidation type="list" allowBlank="1" showInputMessage="1" showErrorMessage="1" sqref="H105 E116 M118 J118 H116 E118 M116 J116 M128 H128 H118 M130 H132 H130" xr:uid="{B566105A-B00A-4586-AD7D-3C965F1B68DD}">
      <formula1>INDIRECT("Dropdown_YesNo")</formula1>
    </dataValidation>
    <dataValidation type="list" allowBlank="1" showInputMessage="1" showErrorMessage="1" sqref="M56" xr:uid="{C80D96F2-6F5E-4443-BCE8-E250A4A98A19}">
      <formula1>INDIRECT("Dropdown_StrategicInitiativeCost")</formula1>
    </dataValidation>
    <dataValidation type="list" allowBlank="1" showInputMessage="1" showErrorMessage="1" sqref="M60" xr:uid="{99BA96B1-4DD5-4553-AD98-4013D87A52A0}">
      <formula1>INDIRECT("Dropdown_StrategicInitiativeROI")</formula1>
    </dataValidation>
    <dataValidation type="list" allowBlank="1" showInputMessage="1" showErrorMessage="1" sqref="M109" xr:uid="{BAA353E7-F487-4D54-85BE-3D0DACA9F259}">
      <formula1>INDIRECT("Dropdown_InclusivityProgramYearAgo")</formula1>
    </dataValidation>
    <dataValidation type="list" allowBlank="1" showInputMessage="1" showErrorMessage="1" sqref="I124" xr:uid="{CA461EE5-2965-441F-9185-790DD61EC5DE}">
      <formula1>INDIRECT("Dropdown_IncentivizeWorkshare")</formula1>
    </dataValidation>
    <dataValidation type="list" allowBlank="1" showInputMessage="1" showErrorMessage="1" sqref="M122" xr:uid="{602199EA-23C0-4A09-9952-F2BF58696526}">
      <formula1>INDIRECT("Dropdown_DEI")</formula1>
    </dataValidation>
    <dataValidation type="list" allowBlank="1" showInputMessage="1" showErrorMessage="1" sqref="I112" xr:uid="{1231329E-A8AF-4305-A457-9BEA03FB3AED}">
      <formula1>Dropdown_DEI</formula1>
    </dataValidation>
    <dataValidation type="list" allowBlank="1" showInputMessage="1" showErrorMessage="1" sqref="J109" xr:uid="{18A500FA-CBFD-4765-9B7C-44DF1A832481}">
      <formula1>INDIRECT("Dropdown_InclusivityProgramNow")</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D79" unlockedFormula="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8" id="{B7CAF0D7-5AEB-49FE-8150-23B0EDE81278}">
            <xm:f>NOT('Revenue Details'!$I$49=100%)</xm:f>
            <x14:dxf>
              <font>
                <color theme="6"/>
              </font>
              <fill>
                <patternFill>
                  <bgColor theme="2"/>
                </patternFill>
              </fill>
            </x14:dxf>
          </x14:cfRule>
          <xm:sqref>I112 E116 H116 J116 M116 E118 H118 J118 M118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98CC5387-5B69-48EF-BE3C-B04B50E7B6C1}">
          <x14:formula1>
            <xm:f>Dropdowns!$AH$20:$AH$25</xm:f>
          </x14:formula1>
          <xm:sqref>K107:M107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1181-A183-4A70-A857-1D5C785EBED5}">
  <sheetPr codeName="Sheet7">
    <pageSetUpPr fitToPage="1"/>
  </sheetPr>
  <dimension ref="A1:Q243"/>
  <sheetViews>
    <sheetView showGridLines="0" zoomScale="70" zoomScaleNormal="70" zoomScaleSheetLayoutView="70" workbookViewId="0"/>
  </sheetViews>
  <sheetFormatPr defaultColWidth="0" defaultRowHeight="0" customHeight="1" zeroHeight="1" x14ac:dyDescent="0.25"/>
  <cols>
    <col min="1" max="3" width="2.5703125" style="36" customWidth="1"/>
    <col min="4" max="13" width="18.140625" style="36" customWidth="1"/>
    <col min="14" max="15" width="2.5703125" style="36" customWidth="1"/>
    <col min="16" max="16" width="65.5703125" style="36" customWidth="1"/>
    <col min="17" max="17" width="2.5703125" style="36" customWidth="1"/>
    <col min="18" max="16384" width="8.85546875" style="36" hidden="1"/>
  </cols>
  <sheetData>
    <row r="1" spans="3:17" ht="15" customHeight="1" x14ac:dyDescent="0.25">
      <c r="P1" s="49"/>
    </row>
    <row r="2" spans="3:17" ht="7.5" customHeight="1" x14ac:dyDescent="0.35">
      <c r="C2" s="50"/>
      <c r="D2" s="58"/>
      <c r="E2" s="58"/>
      <c r="F2" s="58"/>
      <c r="G2" s="55"/>
      <c r="H2" s="75"/>
      <c r="I2" s="75"/>
      <c r="J2" s="75"/>
      <c r="K2" s="75"/>
      <c r="L2" s="58"/>
      <c r="M2" s="58"/>
      <c r="N2" s="58"/>
      <c r="O2" s="58"/>
      <c r="P2" s="49"/>
      <c r="Q2" s="58"/>
    </row>
    <row r="3" spans="3:17" ht="7.5" customHeight="1" x14ac:dyDescent="0.35">
      <c r="C3" s="50"/>
      <c r="D3" s="51"/>
      <c r="E3" s="52"/>
      <c r="F3" s="53"/>
      <c r="G3" s="54"/>
      <c r="H3" s="54"/>
      <c r="I3" s="55"/>
      <c r="J3" s="55"/>
      <c r="K3" s="54"/>
      <c r="L3" s="56"/>
      <c r="M3" s="57"/>
      <c r="N3" s="57"/>
      <c r="O3" s="58"/>
      <c r="P3" s="49"/>
      <c r="Q3" s="58"/>
    </row>
    <row r="4" spans="3:17" ht="18.75" customHeight="1" x14ac:dyDescent="0.35">
      <c r="C4" s="69"/>
      <c r="D4" s="69" t="s">
        <v>960</v>
      </c>
      <c r="E4" s="70"/>
      <c r="F4" s="70"/>
      <c r="G4" s="71"/>
      <c r="H4" s="72"/>
      <c r="I4" s="72"/>
      <c r="J4" s="72"/>
      <c r="K4" s="72"/>
      <c r="L4" s="70"/>
      <c r="M4" s="70"/>
      <c r="N4" s="70"/>
      <c r="O4" s="58"/>
      <c r="P4" s="49"/>
      <c r="Q4" s="58"/>
    </row>
    <row r="5" spans="3:17" ht="7.5" customHeight="1" x14ac:dyDescent="0.25"/>
    <row r="6" spans="3:17" ht="7.5" customHeight="1" x14ac:dyDescent="0.35">
      <c r="C6" s="59"/>
      <c r="D6" s="60"/>
      <c r="E6" s="61"/>
      <c r="F6" s="62"/>
      <c r="G6" s="63"/>
      <c r="H6" s="63"/>
      <c r="I6" s="64"/>
      <c r="J6" s="64"/>
      <c r="K6" s="63"/>
      <c r="L6" s="65"/>
      <c r="M6" s="66"/>
      <c r="N6" s="67"/>
      <c r="O6" s="58"/>
      <c r="P6" s="49"/>
      <c r="Q6" s="58"/>
    </row>
    <row r="7" spans="3:17" ht="18.75" customHeight="1" x14ac:dyDescent="0.35">
      <c r="C7" s="68"/>
      <c r="D7" s="69" t="s">
        <v>585</v>
      </c>
      <c r="E7" s="70"/>
      <c r="F7" s="70"/>
      <c r="G7" s="71"/>
      <c r="H7" s="72"/>
      <c r="I7" s="72"/>
      <c r="J7" s="72"/>
      <c r="K7" s="72"/>
      <c r="L7" s="70"/>
      <c r="M7" s="70"/>
      <c r="N7" s="73"/>
      <c r="O7" s="58"/>
      <c r="P7" s="49"/>
      <c r="Q7" s="58"/>
    </row>
    <row r="8" spans="3:17" ht="7.5" customHeight="1" x14ac:dyDescent="0.35">
      <c r="C8" s="74"/>
      <c r="D8" s="58"/>
      <c r="E8" s="58"/>
      <c r="F8" s="58"/>
      <c r="G8" s="55"/>
      <c r="H8" s="75"/>
      <c r="I8" s="75"/>
      <c r="J8" s="75"/>
      <c r="K8" s="75"/>
      <c r="L8" s="58"/>
      <c r="M8" s="58"/>
      <c r="N8" s="76"/>
      <c r="O8" s="58"/>
      <c r="P8" s="49"/>
      <c r="Q8" s="58"/>
    </row>
    <row r="9" spans="3:17" ht="35.1" customHeight="1" x14ac:dyDescent="0.3">
      <c r="C9" s="79"/>
      <c r="D9" s="487" t="s">
        <v>1173</v>
      </c>
      <c r="E9" s="487"/>
      <c r="F9" s="487"/>
      <c r="G9" s="487"/>
      <c r="H9" s="487"/>
      <c r="I9" s="487"/>
      <c r="J9" s="487"/>
      <c r="K9" s="487"/>
      <c r="L9" s="487"/>
      <c r="M9" s="487"/>
      <c r="N9" s="80"/>
    </row>
    <row r="10" spans="3:17" ht="7.5" customHeight="1" x14ac:dyDescent="0.25">
      <c r="C10" s="79"/>
      <c r="N10" s="80"/>
    </row>
    <row r="11" spans="3:17" ht="15" customHeight="1" x14ac:dyDescent="0.3">
      <c r="C11" s="79"/>
      <c r="E11" s="480" t="s">
        <v>988</v>
      </c>
      <c r="F11" s="480"/>
      <c r="G11" s="346"/>
      <c r="H11" s="480" t="s">
        <v>989</v>
      </c>
      <c r="I11" s="480"/>
      <c r="J11" s="346"/>
      <c r="K11" s="480" t="s">
        <v>1174</v>
      </c>
      <c r="L11" s="480"/>
      <c r="M11" s="480"/>
      <c r="N11" s="80"/>
    </row>
    <row r="12" spans="3:17" ht="7.5" customHeight="1" x14ac:dyDescent="0.25">
      <c r="C12" s="79"/>
      <c r="N12" s="80"/>
    </row>
    <row r="13" spans="3:17" ht="15" customHeight="1" x14ac:dyDescent="0.3">
      <c r="C13" s="79"/>
      <c r="D13" s="126" t="s">
        <v>990</v>
      </c>
      <c r="E13" s="468"/>
      <c r="F13" s="468"/>
      <c r="H13" s="468"/>
      <c r="I13" s="468"/>
      <c r="K13" s="486"/>
      <c r="L13" s="468"/>
      <c r="M13" s="468"/>
      <c r="N13" s="80"/>
    </row>
    <row r="14" spans="3:17" ht="7.5" customHeight="1" x14ac:dyDescent="0.25">
      <c r="C14" s="79"/>
      <c r="N14" s="80"/>
    </row>
    <row r="15" spans="3:17" ht="15" customHeight="1" x14ac:dyDescent="0.3">
      <c r="C15" s="79"/>
      <c r="D15" s="126" t="s">
        <v>991</v>
      </c>
      <c r="E15" s="468"/>
      <c r="F15" s="468"/>
      <c r="H15" s="468"/>
      <c r="I15" s="468"/>
      <c r="K15" s="486"/>
      <c r="L15" s="468"/>
      <c r="M15" s="468"/>
      <c r="N15" s="80"/>
    </row>
    <row r="16" spans="3:17" ht="7.5" customHeight="1" x14ac:dyDescent="0.25">
      <c r="C16" s="79"/>
      <c r="N16" s="80"/>
    </row>
    <row r="17" spans="3:17" ht="15" customHeight="1" x14ac:dyDescent="0.3">
      <c r="C17" s="79"/>
      <c r="D17" s="126" t="s">
        <v>993</v>
      </c>
      <c r="E17" s="468"/>
      <c r="F17" s="468"/>
      <c r="H17" s="468"/>
      <c r="I17" s="468"/>
      <c r="K17" s="486"/>
      <c r="L17" s="468"/>
      <c r="M17" s="468"/>
      <c r="N17" s="80"/>
    </row>
    <row r="18" spans="3:17" ht="7.5" customHeight="1" x14ac:dyDescent="0.25">
      <c r="C18" s="79"/>
      <c r="N18" s="80"/>
    </row>
    <row r="19" spans="3:17" ht="15" customHeight="1" x14ac:dyDescent="0.3">
      <c r="C19" s="79"/>
      <c r="D19" s="126" t="s">
        <v>992</v>
      </c>
      <c r="E19" s="468"/>
      <c r="F19" s="468"/>
      <c r="H19" s="468"/>
      <c r="I19" s="468"/>
      <c r="K19" s="468"/>
      <c r="L19" s="468"/>
      <c r="M19" s="468"/>
      <c r="N19" s="80"/>
    </row>
    <row r="20" spans="3:17" ht="7.5" customHeight="1" x14ac:dyDescent="0.25">
      <c r="C20" s="148"/>
      <c r="D20" s="118"/>
      <c r="E20" s="118"/>
      <c r="F20" s="118"/>
      <c r="G20" s="118"/>
      <c r="H20" s="118"/>
      <c r="I20" s="118"/>
      <c r="J20" s="118"/>
      <c r="K20" s="118"/>
      <c r="L20" s="118"/>
      <c r="M20" s="118"/>
      <c r="N20" s="181"/>
    </row>
    <row r="21" spans="3:17" ht="7.5" customHeight="1" x14ac:dyDescent="0.25"/>
    <row r="22" spans="3:17" ht="7.5" customHeight="1" x14ac:dyDescent="0.35">
      <c r="C22" s="59"/>
      <c r="D22" s="60"/>
      <c r="E22" s="61"/>
      <c r="F22" s="62"/>
      <c r="G22" s="63"/>
      <c r="H22" s="63"/>
      <c r="I22" s="64"/>
      <c r="J22" s="64"/>
      <c r="K22" s="63"/>
      <c r="L22" s="65"/>
      <c r="M22" s="66"/>
      <c r="N22" s="67"/>
      <c r="O22" s="58"/>
      <c r="P22" s="49"/>
      <c r="Q22" s="58"/>
    </row>
    <row r="23" spans="3:17" ht="18.75" customHeight="1" x14ac:dyDescent="0.35">
      <c r="C23" s="68"/>
      <c r="D23" s="69" t="s">
        <v>1043</v>
      </c>
      <c r="E23" s="70"/>
      <c r="F23" s="70"/>
      <c r="G23" s="70"/>
      <c r="H23" s="70"/>
      <c r="I23" s="70"/>
      <c r="J23" s="70"/>
      <c r="K23" s="70"/>
      <c r="L23" s="70"/>
      <c r="M23" s="70"/>
      <c r="N23" s="73"/>
      <c r="O23" s="58"/>
      <c r="P23" s="49"/>
      <c r="Q23" s="58"/>
    </row>
    <row r="24" spans="3:17" ht="7.5" customHeight="1" x14ac:dyDescent="0.35">
      <c r="C24" s="74"/>
      <c r="D24" s="58"/>
      <c r="E24" s="58"/>
      <c r="F24" s="58"/>
      <c r="G24" s="55"/>
      <c r="H24" s="75"/>
      <c r="I24" s="75"/>
      <c r="J24" s="75"/>
      <c r="K24" s="75"/>
      <c r="L24" s="58"/>
      <c r="M24" s="58"/>
      <c r="N24" s="76"/>
      <c r="O24" s="58"/>
      <c r="P24" s="49"/>
      <c r="Q24" s="58"/>
    </row>
    <row r="25" spans="3:17" ht="15" customHeight="1" x14ac:dyDescent="0.3">
      <c r="C25" s="79"/>
      <c r="D25" s="84" t="s">
        <v>1072</v>
      </c>
      <c r="J25" s="162"/>
      <c r="N25" s="80"/>
    </row>
    <row r="26" spans="3:17" ht="7.5" customHeight="1" x14ac:dyDescent="0.25">
      <c r="C26" s="79"/>
      <c r="N26" s="80"/>
    </row>
    <row r="27" spans="3:17" ht="15" customHeight="1" x14ac:dyDescent="0.3">
      <c r="C27" s="79"/>
      <c r="D27" s="100" t="s">
        <v>456</v>
      </c>
      <c r="E27" s="366"/>
      <c r="F27" s="100" t="s">
        <v>607</v>
      </c>
      <c r="G27" s="366"/>
      <c r="H27" s="100" t="s">
        <v>457</v>
      </c>
      <c r="I27" s="366"/>
      <c r="J27" s="100" t="s">
        <v>1044</v>
      </c>
      <c r="K27" s="348"/>
      <c r="L27" s="100" t="s">
        <v>1474</v>
      </c>
      <c r="M27" s="111"/>
      <c r="N27" s="80"/>
    </row>
    <row r="28" spans="3:17" ht="7.5" customHeight="1" x14ac:dyDescent="0.25">
      <c r="C28" s="79"/>
      <c r="N28" s="80"/>
    </row>
    <row r="29" spans="3:17" ht="15" customHeight="1" x14ac:dyDescent="0.3">
      <c r="C29" s="79"/>
      <c r="D29" s="22" t="s">
        <v>1470</v>
      </c>
      <c r="E29" s="23"/>
      <c r="F29" s="23"/>
      <c r="G29" s="23"/>
      <c r="H29" s="23"/>
      <c r="I29" s="468"/>
      <c r="J29" s="468"/>
      <c r="K29" s="468"/>
      <c r="L29" s="468"/>
      <c r="M29" s="468"/>
      <c r="N29" s="80"/>
    </row>
    <row r="30" spans="3:17" ht="7.5" customHeight="1" x14ac:dyDescent="0.25">
      <c r="C30" s="79"/>
      <c r="N30" s="80"/>
    </row>
    <row r="31" spans="3:17" ht="15" customHeight="1" x14ac:dyDescent="0.3">
      <c r="C31" s="79"/>
      <c r="D31" s="431" t="s">
        <v>1371</v>
      </c>
      <c r="E31" s="23"/>
      <c r="F31" s="23"/>
      <c r="G31" s="23"/>
      <c r="H31" s="23"/>
      <c r="I31" s="23"/>
      <c r="J31" s="23"/>
      <c r="K31" s="23"/>
      <c r="L31" s="23"/>
      <c r="M31" s="256"/>
      <c r="N31" s="80"/>
    </row>
    <row r="32" spans="3:17" ht="7.5" customHeight="1" x14ac:dyDescent="0.25">
      <c r="C32" s="79"/>
      <c r="N32" s="80"/>
    </row>
    <row r="33" spans="3:14" ht="15" customHeight="1" x14ac:dyDescent="0.3">
      <c r="C33" s="79"/>
      <c r="D33" s="351" t="s">
        <v>1461</v>
      </c>
      <c r="E33" s="305"/>
      <c r="F33" s="305"/>
      <c r="G33" s="305"/>
      <c r="J33" s="100"/>
      <c r="K33" s="100"/>
      <c r="L33" s="100"/>
      <c r="M33" s="365"/>
      <c r="N33" s="80"/>
    </row>
    <row r="34" spans="3:14" ht="7.5" customHeight="1" x14ac:dyDescent="0.25">
      <c r="C34" s="79"/>
      <c r="N34" s="80"/>
    </row>
    <row r="35" spans="3:14" ht="15" customHeight="1" x14ac:dyDescent="0.3">
      <c r="C35" s="79"/>
      <c r="D35" s="351" t="s">
        <v>1462</v>
      </c>
      <c r="E35" s="305"/>
      <c r="F35" s="305"/>
      <c r="G35" s="305"/>
      <c r="J35" s="100"/>
      <c r="K35" s="100"/>
      <c r="L35" s="100"/>
      <c r="M35" s="365"/>
      <c r="N35" s="80"/>
    </row>
    <row r="36" spans="3:14" ht="7.5" customHeight="1" x14ac:dyDescent="0.25">
      <c r="C36" s="79"/>
      <c r="N36" s="80"/>
    </row>
    <row r="37" spans="3:14" ht="15" customHeight="1" x14ac:dyDescent="0.3">
      <c r="C37" s="79"/>
      <c r="D37" s="84" t="s">
        <v>1471</v>
      </c>
      <c r="N37" s="80"/>
    </row>
    <row r="38" spans="3:14" ht="7.5" customHeight="1" x14ac:dyDescent="0.25">
      <c r="C38" s="79"/>
      <c r="N38" s="80"/>
    </row>
    <row r="39" spans="3:14" ht="15" customHeight="1" x14ac:dyDescent="0.3">
      <c r="C39" s="79"/>
      <c r="D39" s="98"/>
      <c r="E39" s="23"/>
      <c r="F39" s="426" t="s">
        <v>1325</v>
      </c>
      <c r="G39" s="256"/>
      <c r="H39" s="98"/>
      <c r="I39" s="426" t="s">
        <v>1323</v>
      </c>
      <c r="J39" s="256"/>
      <c r="K39" s="98"/>
      <c r="L39" s="426" t="s">
        <v>1324</v>
      </c>
      <c r="M39" s="256"/>
      <c r="N39" s="80"/>
    </row>
    <row r="40" spans="3:14" ht="7.5" customHeight="1" x14ac:dyDescent="0.25">
      <c r="C40" s="79"/>
      <c r="N40" s="80"/>
    </row>
    <row r="41" spans="3:14" ht="15" customHeight="1" x14ac:dyDescent="0.3">
      <c r="C41" s="79"/>
      <c r="D41" s="84" t="str">
        <f>CONCATENATE("What is your firm's annual spend on Sustainability reporting functions (in millions",
                               IF(NOT(ISBLANK(_Currency)), CONCATENATE(" of ", _Currency, ")?"), ")?"))</f>
        <v>What is your firm's annual spend on Sustainability reporting functions (in millions)?</v>
      </c>
      <c r="N41" s="80"/>
    </row>
    <row r="42" spans="3:14" ht="7.5" customHeight="1" x14ac:dyDescent="0.25">
      <c r="C42" s="79"/>
      <c r="N42" s="80"/>
    </row>
    <row r="43" spans="3:14" ht="15" customHeight="1" x14ac:dyDescent="0.3">
      <c r="C43" s="79"/>
      <c r="D43" s="98"/>
      <c r="E43" s="23"/>
      <c r="F43" s="426" t="s">
        <v>1463</v>
      </c>
      <c r="G43" s="144"/>
      <c r="H43" s="98"/>
      <c r="I43" s="426" t="s">
        <v>1464</v>
      </c>
      <c r="J43" s="144"/>
      <c r="K43" s="98"/>
      <c r="L43" s="426" t="s">
        <v>1465</v>
      </c>
      <c r="M43" s="144"/>
      <c r="N43" s="80"/>
    </row>
    <row r="44" spans="3:14" ht="7.5" customHeight="1" x14ac:dyDescent="0.25">
      <c r="C44" s="79"/>
      <c r="N44" s="80"/>
    </row>
    <row r="45" spans="3:14" ht="15" hidden="1" customHeight="1" x14ac:dyDescent="0.3">
      <c r="C45" s="79"/>
      <c r="D45" s="349" t="s">
        <v>1409</v>
      </c>
      <c r="N45" s="80"/>
    </row>
    <row r="46" spans="3:14" ht="15" hidden="1" customHeight="1" x14ac:dyDescent="0.3">
      <c r="C46" s="79"/>
      <c r="D46" s="349" t="s">
        <v>1410</v>
      </c>
      <c r="F46" s="477"/>
      <c r="G46" s="477"/>
      <c r="H46" s="477"/>
      <c r="I46" s="477"/>
      <c r="J46" s="477"/>
      <c r="K46" s="477"/>
      <c r="L46" s="477"/>
      <c r="M46" s="477"/>
      <c r="N46" s="80"/>
    </row>
    <row r="47" spans="3:14" ht="7.5" hidden="1" customHeight="1" x14ac:dyDescent="0.25">
      <c r="C47" s="79"/>
      <c r="N47" s="80"/>
    </row>
    <row r="48" spans="3:14" ht="15" hidden="1" customHeight="1" x14ac:dyDescent="0.3">
      <c r="C48" s="79"/>
      <c r="D48" s="347" t="s">
        <v>1070</v>
      </c>
      <c r="H48" s="364"/>
      <c r="N48" s="80"/>
    </row>
    <row r="49" spans="3:17" ht="7.5" hidden="1" customHeight="1" x14ac:dyDescent="0.25">
      <c r="C49" s="79"/>
      <c r="N49" s="80"/>
    </row>
    <row r="50" spans="3:17" ht="15" hidden="1" customHeight="1" x14ac:dyDescent="0.3">
      <c r="C50" s="79"/>
      <c r="D50" s="84" t="s">
        <v>1073</v>
      </c>
      <c r="H50" s="466"/>
      <c r="I50" s="466"/>
      <c r="J50" s="466"/>
      <c r="K50" s="466"/>
      <c r="L50" s="466"/>
      <c r="M50" s="466"/>
      <c r="N50" s="80"/>
    </row>
    <row r="51" spans="3:17" ht="7.5" hidden="1" customHeight="1" x14ac:dyDescent="0.25">
      <c r="C51" s="79"/>
      <c r="D51" s="305"/>
      <c r="E51" s="305"/>
      <c r="F51" s="305"/>
      <c r="G51" s="305"/>
      <c r="N51" s="80"/>
    </row>
    <row r="52" spans="3:17" ht="15" hidden="1" customHeight="1" x14ac:dyDescent="0.3">
      <c r="C52" s="79"/>
      <c r="D52" s="349" t="s">
        <v>1175</v>
      </c>
      <c r="E52" s="305"/>
      <c r="F52" s="305"/>
      <c r="G52" s="305"/>
      <c r="H52" s="241"/>
      <c r="I52" s="305"/>
      <c r="J52" s="350" t="s">
        <v>1178</v>
      </c>
      <c r="K52" s="111"/>
      <c r="L52" s="350" t="s">
        <v>1179</v>
      </c>
      <c r="M52" s="348"/>
      <c r="N52" s="80"/>
    </row>
    <row r="53" spans="3:17" ht="7.5" hidden="1" customHeight="1" x14ac:dyDescent="0.25">
      <c r="C53" s="79"/>
      <c r="D53" s="305"/>
      <c r="E53" s="305"/>
      <c r="F53" s="305"/>
      <c r="G53" s="305"/>
      <c r="I53" s="305"/>
      <c r="J53" s="305"/>
      <c r="N53" s="80"/>
    </row>
    <row r="54" spans="3:17" ht="15" hidden="1" customHeight="1" x14ac:dyDescent="0.3">
      <c r="C54" s="79"/>
      <c r="D54" s="349" t="s">
        <v>1176</v>
      </c>
      <c r="E54" s="305"/>
      <c r="F54" s="305"/>
      <c r="G54" s="305"/>
      <c r="H54" s="241"/>
      <c r="I54" s="305"/>
      <c r="J54" s="305"/>
      <c r="K54" s="305"/>
      <c r="L54" s="350" t="s">
        <v>1180</v>
      </c>
      <c r="M54" s="348"/>
      <c r="N54" s="80"/>
    </row>
    <row r="55" spans="3:17" ht="7.5" hidden="1" customHeight="1" x14ac:dyDescent="0.25">
      <c r="C55" s="79"/>
      <c r="D55" s="305"/>
      <c r="E55" s="305"/>
      <c r="F55" s="305"/>
      <c r="G55" s="305"/>
      <c r="I55" s="305"/>
      <c r="J55" s="305"/>
      <c r="K55" s="305"/>
      <c r="L55" s="305"/>
      <c r="N55" s="80"/>
    </row>
    <row r="56" spans="3:17" ht="15" hidden="1" customHeight="1" x14ac:dyDescent="0.3">
      <c r="C56" s="79"/>
      <c r="D56" s="349" t="s">
        <v>1177</v>
      </c>
      <c r="E56" s="305"/>
      <c r="F56" s="305"/>
      <c r="G56" s="305"/>
      <c r="H56" s="241"/>
      <c r="I56" s="305"/>
      <c r="J56" s="305"/>
      <c r="K56" s="305"/>
      <c r="L56" s="350" t="s">
        <v>1181</v>
      </c>
      <c r="M56" s="348"/>
      <c r="N56" s="80"/>
    </row>
    <row r="57" spans="3:17" ht="7.5" hidden="1" customHeight="1" x14ac:dyDescent="0.25">
      <c r="C57" s="79"/>
      <c r="D57" s="305"/>
      <c r="E57" s="305"/>
      <c r="F57" s="305"/>
      <c r="G57" s="305"/>
      <c r="N57" s="80"/>
    </row>
    <row r="58" spans="3:17" ht="15" hidden="1" customHeight="1" x14ac:dyDescent="0.3">
      <c r="C58" s="79"/>
      <c r="D58" s="84" t="s">
        <v>1084</v>
      </c>
      <c r="L58" s="333"/>
      <c r="M58" s="352"/>
      <c r="N58" s="80"/>
      <c r="O58" s="58"/>
      <c r="P58" s="49"/>
      <c r="Q58" s="58"/>
    </row>
    <row r="59" spans="3:17" ht="7.5" hidden="1" customHeight="1" x14ac:dyDescent="0.25">
      <c r="C59" s="79"/>
      <c r="N59" s="80"/>
    </row>
    <row r="60" spans="3:17" ht="15" hidden="1" customHeight="1" x14ac:dyDescent="0.3">
      <c r="C60" s="79"/>
      <c r="D60" s="349" t="s">
        <v>1322</v>
      </c>
      <c r="I60" s="477"/>
      <c r="J60" s="477"/>
      <c r="K60" s="477"/>
      <c r="L60" s="477"/>
      <c r="M60" s="477"/>
      <c r="N60" s="80"/>
    </row>
    <row r="61" spans="3:17" ht="15" customHeight="1" x14ac:dyDescent="0.3">
      <c r="C61" s="79"/>
      <c r="D61" s="351" t="s">
        <v>1467</v>
      </c>
      <c r="E61" s="305"/>
      <c r="F61" s="305"/>
      <c r="G61" s="305"/>
      <c r="J61" s="100"/>
      <c r="K61" s="100"/>
      <c r="L61" s="485"/>
      <c r="M61" s="485"/>
      <c r="N61" s="80"/>
    </row>
    <row r="62" spans="3:17" ht="7.5" customHeight="1" x14ac:dyDescent="0.35">
      <c r="C62" s="68"/>
      <c r="D62" s="23"/>
      <c r="E62" s="23"/>
      <c r="F62" s="23"/>
      <c r="G62" s="23"/>
      <c r="H62" s="23"/>
      <c r="I62" s="23"/>
      <c r="J62" s="23"/>
      <c r="K62" s="23"/>
      <c r="L62" s="23"/>
      <c r="M62" s="23"/>
      <c r="N62" s="439"/>
      <c r="O62" s="58"/>
      <c r="P62" s="282"/>
      <c r="Q62" s="58"/>
    </row>
    <row r="63" spans="3:17" ht="15" customHeight="1" x14ac:dyDescent="0.3">
      <c r="C63" s="79"/>
      <c r="D63" s="24" t="s">
        <v>1468</v>
      </c>
      <c r="E63" s="23"/>
      <c r="F63" s="23"/>
      <c r="G63" s="23"/>
      <c r="H63" s="23"/>
      <c r="I63" s="23"/>
      <c r="J63" s="23"/>
      <c r="K63" s="23"/>
      <c r="L63" s="23"/>
      <c r="M63" s="440"/>
      <c r="N63" s="80"/>
    </row>
    <row r="64" spans="3:17" ht="7.5" customHeight="1" x14ac:dyDescent="0.25">
      <c r="C64" s="79"/>
      <c r="N64" s="80"/>
    </row>
    <row r="65" spans="3:17" ht="15" customHeight="1" x14ac:dyDescent="0.3">
      <c r="C65" s="79"/>
      <c r="D65" s="24" t="s">
        <v>1469</v>
      </c>
      <c r="E65" s="23"/>
      <c r="F65" s="23"/>
      <c r="G65" s="23"/>
      <c r="H65" s="23"/>
      <c r="I65" s="23"/>
      <c r="J65" s="23"/>
      <c r="K65" s="23"/>
      <c r="L65" s="23"/>
      <c r="M65" s="77"/>
      <c r="N65" s="80"/>
    </row>
    <row r="66" spans="3:17" ht="7.5" customHeight="1" x14ac:dyDescent="0.25">
      <c r="C66" s="79"/>
      <c r="N66" s="80"/>
    </row>
    <row r="67" spans="3:17" ht="15" customHeight="1" x14ac:dyDescent="0.3">
      <c r="C67" s="79"/>
      <c r="D67" s="84" t="s">
        <v>1466</v>
      </c>
      <c r="K67" s="468"/>
      <c r="L67" s="468"/>
      <c r="M67" s="468"/>
      <c r="N67" s="80"/>
      <c r="P67" s="282"/>
    </row>
    <row r="68" spans="3:17" ht="7.5" customHeight="1" x14ac:dyDescent="0.25">
      <c r="C68" s="79"/>
      <c r="N68" s="80"/>
    </row>
    <row r="69" spans="3:17" ht="15" customHeight="1" x14ac:dyDescent="0.3">
      <c r="C69" s="79"/>
      <c r="D69" s="84" t="s">
        <v>1472</v>
      </c>
      <c r="L69" s="468"/>
      <c r="M69" s="468"/>
      <c r="N69" s="80"/>
      <c r="P69" s="282"/>
    </row>
    <row r="70" spans="3:17" ht="7.5" customHeight="1" x14ac:dyDescent="0.25">
      <c r="C70" s="79"/>
      <c r="N70" s="80"/>
    </row>
    <row r="71" spans="3:17" ht="15" customHeight="1" x14ac:dyDescent="0.3">
      <c r="C71" s="79"/>
      <c r="D71" s="84" t="s">
        <v>1473</v>
      </c>
      <c r="K71" s="468"/>
      <c r="L71" s="468"/>
      <c r="M71" s="468"/>
      <c r="N71" s="80"/>
      <c r="P71" s="282"/>
    </row>
    <row r="72" spans="3:17" ht="7.5" customHeight="1" x14ac:dyDescent="0.25">
      <c r="C72" s="148"/>
      <c r="D72" s="118"/>
      <c r="E72" s="118"/>
      <c r="F72" s="118"/>
      <c r="G72" s="118"/>
      <c r="H72" s="118"/>
      <c r="I72" s="118"/>
      <c r="J72" s="118"/>
      <c r="K72" s="118"/>
      <c r="L72" s="118"/>
      <c r="M72" s="118"/>
      <c r="N72" s="181"/>
      <c r="O72" s="58"/>
      <c r="P72" s="49"/>
      <c r="Q72" s="58"/>
    </row>
    <row r="73" spans="3:17" ht="7.5" hidden="1" customHeight="1" x14ac:dyDescent="0.25"/>
    <row r="74" spans="3:17" ht="7.5" hidden="1" customHeight="1" x14ac:dyDescent="0.25">
      <c r="C74" s="151"/>
      <c r="D74" s="152"/>
      <c r="E74" s="152"/>
      <c r="F74" s="152"/>
      <c r="G74" s="152"/>
      <c r="H74" s="152"/>
      <c r="I74" s="152"/>
      <c r="J74" s="152"/>
      <c r="K74" s="152"/>
      <c r="L74" s="152"/>
      <c r="M74" s="152"/>
      <c r="N74" s="153"/>
    </row>
    <row r="75" spans="3:17" ht="18.75" hidden="1" customHeight="1" x14ac:dyDescent="0.35">
      <c r="C75" s="79"/>
      <c r="D75" s="69" t="s">
        <v>1194</v>
      </c>
      <c r="N75" s="80"/>
    </row>
    <row r="76" spans="3:17" ht="7.5" hidden="1" customHeight="1" x14ac:dyDescent="0.25">
      <c r="C76" s="79"/>
      <c r="N76" s="80"/>
    </row>
    <row r="77" spans="3:17" ht="15" hidden="1" customHeight="1" x14ac:dyDescent="0.3">
      <c r="C77" s="79"/>
      <c r="D77" s="84" t="s">
        <v>1288</v>
      </c>
      <c r="I77" s="468"/>
      <c r="J77" s="468"/>
      <c r="K77" s="468"/>
      <c r="L77" s="468"/>
      <c r="N77" s="80"/>
    </row>
    <row r="78" spans="3:17" ht="7.5" hidden="1" customHeight="1" x14ac:dyDescent="0.25">
      <c r="C78" s="79"/>
      <c r="N78" s="80"/>
    </row>
    <row r="79" spans="3:17" ht="15" hidden="1" customHeight="1" x14ac:dyDescent="0.3">
      <c r="C79" s="79"/>
      <c r="D79" s="84" t="s">
        <v>1289</v>
      </c>
      <c r="H79" s="468"/>
      <c r="I79" s="468"/>
      <c r="J79" s="468"/>
      <c r="K79" s="468"/>
      <c r="L79" s="468"/>
      <c r="M79" s="468"/>
      <c r="N79" s="80"/>
    </row>
    <row r="80" spans="3:17" ht="7.5" hidden="1" customHeight="1" x14ac:dyDescent="0.25">
      <c r="C80" s="79"/>
      <c r="N80" s="80"/>
    </row>
    <row r="81" spans="3:17" ht="15" hidden="1" customHeight="1" x14ac:dyDescent="0.3">
      <c r="C81" s="79"/>
      <c r="D81" s="84" t="s">
        <v>1195</v>
      </c>
      <c r="J81" s="346" t="s">
        <v>1196</v>
      </c>
      <c r="N81" s="80"/>
    </row>
    <row r="82" spans="3:17" ht="7.5" hidden="1" customHeight="1" x14ac:dyDescent="0.25">
      <c r="C82" s="79"/>
      <c r="N82" s="80"/>
    </row>
    <row r="83" spans="3:17" ht="15" hidden="1" customHeight="1" x14ac:dyDescent="0.3">
      <c r="C83" s="79"/>
      <c r="D83" s="126" t="s">
        <v>1197</v>
      </c>
      <c r="F83" s="466"/>
      <c r="G83" s="466"/>
      <c r="H83" s="466"/>
      <c r="J83" s="466"/>
      <c r="K83" s="466"/>
      <c r="L83" s="466"/>
      <c r="M83" s="466"/>
      <c r="N83" s="80"/>
    </row>
    <row r="84" spans="3:17" ht="7.5" hidden="1" customHeight="1" x14ac:dyDescent="0.25">
      <c r="C84" s="79"/>
      <c r="F84" s="179"/>
      <c r="G84" s="179"/>
      <c r="H84" s="179"/>
      <c r="J84" s="179"/>
      <c r="K84" s="179"/>
      <c r="L84" s="179"/>
      <c r="M84" s="179"/>
      <c r="N84" s="80"/>
    </row>
    <row r="85" spans="3:17" ht="15" hidden="1" customHeight="1" x14ac:dyDescent="0.3">
      <c r="C85" s="79"/>
      <c r="D85" s="126" t="s">
        <v>1198</v>
      </c>
      <c r="F85" s="466"/>
      <c r="G85" s="466"/>
      <c r="H85" s="466"/>
      <c r="J85" s="466"/>
      <c r="K85" s="466"/>
      <c r="L85" s="466"/>
      <c r="M85" s="466"/>
      <c r="N85" s="80"/>
    </row>
    <row r="86" spans="3:17" ht="7.5" hidden="1" customHeight="1" x14ac:dyDescent="0.25">
      <c r="C86" s="79"/>
      <c r="F86" s="179"/>
      <c r="G86" s="179"/>
      <c r="H86" s="179"/>
      <c r="J86" s="179"/>
      <c r="K86" s="179"/>
      <c r="L86" s="179"/>
      <c r="M86" s="179"/>
      <c r="N86" s="80"/>
    </row>
    <row r="87" spans="3:17" ht="15" hidden="1" customHeight="1" x14ac:dyDescent="0.3">
      <c r="C87" s="79"/>
      <c r="D87" s="126" t="s">
        <v>1199</v>
      </c>
      <c r="F87" s="466"/>
      <c r="G87" s="466"/>
      <c r="H87" s="466"/>
      <c r="J87" s="466"/>
      <c r="K87" s="466"/>
      <c r="L87" s="466"/>
      <c r="M87" s="466"/>
      <c r="N87" s="80"/>
    </row>
    <row r="88" spans="3:17" ht="7.5" hidden="1" customHeight="1" x14ac:dyDescent="0.25">
      <c r="C88" s="148"/>
      <c r="D88" s="118"/>
      <c r="E88" s="118"/>
      <c r="F88" s="118"/>
      <c r="G88" s="118"/>
      <c r="H88" s="118"/>
      <c r="I88" s="118"/>
      <c r="J88" s="118"/>
      <c r="K88" s="118"/>
      <c r="L88" s="118"/>
      <c r="M88" s="118"/>
      <c r="N88" s="181"/>
      <c r="O88" s="58"/>
      <c r="P88" s="49"/>
      <c r="Q88" s="58"/>
    </row>
    <row r="153" spans="1:17" ht="7.5" customHeight="1" x14ac:dyDescent="0.25"/>
    <row r="154" spans="1:17" ht="7.5" customHeight="1" x14ac:dyDescent="0.35">
      <c r="C154" s="59"/>
      <c r="D154" s="60"/>
      <c r="E154" s="61"/>
      <c r="F154" s="62"/>
      <c r="G154" s="63"/>
      <c r="H154" s="63"/>
      <c r="I154" s="64"/>
      <c r="J154" s="64"/>
      <c r="K154" s="63"/>
      <c r="L154" s="65"/>
      <c r="M154" s="66"/>
      <c r="N154" s="67"/>
      <c r="O154" s="58"/>
      <c r="P154" s="49"/>
      <c r="Q154" s="58"/>
    </row>
    <row r="155" spans="1:17" ht="18.75" customHeight="1" x14ac:dyDescent="0.35">
      <c r="C155" s="68"/>
      <c r="D155" s="69" t="s">
        <v>1440</v>
      </c>
      <c r="E155" s="70"/>
      <c r="F155" s="70"/>
      <c r="G155" s="71"/>
      <c r="H155" s="72"/>
      <c r="I155" s="72"/>
      <c r="J155" s="72"/>
      <c r="K155" s="72"/>
      <c r="L155" s="70"/>
      <c r="M155" s="70"/>
      <c r="N155" s="73"/>
      <c r="O155" s="58"/>
      <c r="P155" s="49"/>
      <c r="Q155" s="58"/>
    </row>
    <row r="156" spans="1:17" s="98" customFormat="1" ht="7.5" hidden="1" customHeight="1" x14ac:dyDescent="0.3">
      <c r="A156" s="36"/>
      <c r="C156" s="79"/>
      <c r="D156" s="84"/>
      <c r="E156" s="36"/>
      <c r="F156" s="36"/>
      <c r="G156" s="36"/>
      <c r="H156" s="36"/>
      <c r="I156" s="78"/>
      <c r="J156" s="36"/>
      <c r="L156" s="78"/>
      <c r="M156" s="36"/>
      <c r="N156" s="129"/>
      <c r="O156" s="36"/>
    </row>
    <row r="157" spans="1:17" s="98" customFormat="1" ht="15" hidden="1" customHeight="1" x14ac:dyDescent="0.3">
      <c r="A157" s="36"/>
      <c r="C157" s="79"/>
      <c r="D157" s="356" t="s">
        <v>1363</v>
      </c>
      <c r="E157" s="36"/>
      <c r="F157" s="36"/>
      <c r="G157" s="36"/>
      <c r="H157" s="36"/>
      <c r="I157" s="78"/>
      <c r="J157" s="36"/>
      <c r="N157" s="129"/>
      <c r="O157" s="36"/>
    </row>
    <row r="158" spans="1:17" ht="7.5" hidden="1" customHeight="1" x14ac:dyDescent="0.35">
      <c r="C158" s="74"/>
      <c r="D158" s="58"/>
      <c r="E158" s="58"/>
      <c r="F158" s="58"/>
      <c r="G158" s="55"/>
      <c r="H158" s="75"/>
      <c r="I158" s="75"/>
      <c r="J158" s="75"/>
      <c r="K158" s="75"/>
      <c r="L158" s="58"/>
      <c r="M158" s="58"/>
      <c r="N158" s="76"/>
      <c r="O158" s="58"/>
      <c r="P158" s="49"/>
      <c r="Q158" s="58"/>
    </row>
    <row r="159" spans="1:17" s="98" customFormat="1" ht="15" hidden="1" customHeight="1" x14ac:dyDescent="0.3">
      <c r="A159" s="36"/>
      <c r="C159" s="79"/>
      <c r="D159" s="84" t="s">
        <v>600</v>
      </c>
      <c r="E159" s="36"/>
      <c r="F159" s="36"/>
      <c r="G159" s="36"/>
      <c r="H159" s="36"/>
      <c r="I159" s="36"/>
      <c r="L159" s="239"/>
      <c r="M159" s="261"/>
      <c r="N159" s="129"/>
      <c r="O159" s="36"/>
    </row>
    <row r="160" spans="1:17" s="98" customFormat="1" ht="7.5" hidden="1" customHeight="1" x14ac:dyDescent="0.3">
      <c r="A160" s="36"/>
      <c r="C160" s="79"/>
      <c r="D160" s="84"/>
      <c r="E160" s="36"/>
      <c r="F160" s="36"/>
      <c r="G160" s="36"/>
      <c r="H160" s="36"/>
      <c r="I160" s="36"/>
      <c r="L160" s="239"/>
      <c r="M160" s="36"/>
      <c r="N160" s="129"/>
      <c r="O160" s="36"/>
    </row>
    <row r="161" spans="1:16" s="98" customFormat="1" ht="15" hidden="1" customHeight="1" x14ac:dyDescent="0.3">
      <c r="A161" s="36"/>
      <c r="C161" s="79"/>
      <c r="D161" s="106" t="s">
        <v>1158</v>
      </c>
      <c r="E161" s="36"/>
      <c r="F161" s="36"/>
      <c r="G161" s="36"/>
      <c r="H161" s="36"/>
      <c r="I161" s="36"/>
      <c r="L161" s="484"/>
      <c r="M161" s="484"/>
      <c r="N161" s="129"/>
      <c r="O161" s="36"/>
    </row>
    <row r="162" spans="1:16" s="98" customFormat="1" ht="7.5" hidden="1" customHeight="1" x14ac:dyDescent="0.25">
      <c r="A162" s="36"/>
      <c r="C162" s="99"/>
      <c r="D162" s="36"/>
      <c r="E162" s="36"/>
      <c r="F162" s="36"/>
      <c r="G162" s="36"/>
      <c r="M162" s="36"/>
      <c r="N162" s="129"/>
      <c r="O162" s="36"/>
    </row>
    <row r="163" spans="1:16" ht="15" hidden="1" customHeight="1" x14ac:dyDescent="0.3">
      <c r="C163" s="79"/>
      <c r="D163" s="106" t="s">
        <v>832</v>
      </c>
      <c r="L163" s="239"/>
      <c r="M163" s="261"/>
      <c r="N163" s="129"/>
    </row>
    <row r="164" spans="1:16" s="98" customFormat="1" ht="7.5" hidden="1" customHeight="1" x14ac:dyDescent="0.25">
      <c r="A164" s="36"/>
      <c r="C164" s="99"/>
      <c r="D164" s="36"/>
      <c r="N164" s="129"/>
      <c r="O164" s="36"/>
    </row>
    <row r="165" spans="1:16" s="98" customFormat="1" ht="15" hidden="1" customHeight="1" x14ac:dyDescent="0.3">
      <c r="A165" s="36"/>
      <c r="C165" s="79"/>
      <c r="D165" s="84" t="s">
        <v>1372</v>
      </c>
      <c r="E165" s="36"/>
      <c r="F165" s="36"/>
      <c r="G165" s="36"/>
      <c r="H165" s="36"/>
      <c r="I165" s="36"/>
      <c r="L165" s="239"/>
      <c r="M165" s="261"/>
      <c r="N165" s="129"/>
      <c r="O165" s="36"/>
    </row>
    <row r="166" spans="1:16" s="98" customFormat="1" ht="7.5" hidden="1" customHeight="1" x14ac:dyDescent="0.3">
      <c r="A166" s="36"/>
      <c r="C166" s="79"/>
      <c r="D166" s="84"/>
      <c r="E166" s="36"/>
      <c r="F166" s="36"/>
      <c r="G166" s="36"/>
      <c r="H166" s="36"/>
      <c r="I166" s="36"/>
      <c r="L166" s="239"/>
      <c r="M166" s="36"/>
      <c r="N166" s="129"/>
      <c r="O166" s="36"/>
    </row>
    <row r="167" spans="1:16" s="98" customFormat="1" ht="15" hidden="1" customHeight="1" x14ac:dyDescent="0.3">
      <c r="A167" s="36"/>
      <c r="C167" s="79"/>
      <c r="D167" s="106" t="s">
        <v>1361</v>
      </c>
      <c r="E167" s="36"/>
      <c r="F167" s="36"/>
      <c r="G167" s="36"/>
      <c r="H167" s="36"/>
      <c r="I167" s="36"/>
      <c r="J167" s="485"/>
      <c r="K167" s="485"/>
      <c r="L167" s="485"/>
      <c r="M167" s="485"/>
      <c r="N167" s="129"/>
      <c r="O167" s="36"/>
    </row>
    <row r="168" spans="1:16" ht="7.5" customHeight="1" x14ac:dyDescent="0.25">
      <c r="C168" s="79"/>
      <c r="N168" s="129"/>
      <c r="P168"/>
    </row>
    <row r="169" spans="1:16" ht="15" customHeight="1" x14ac:dyDescent="0.3">
      <c r="C169" s="79"/>
      <c r="D169" s="84" t="s">
        <v>1443</v>
      </c>
      <c r="I169" s="171" t="s">
        <v>1441</v>
      </c>
      <c r="J169" s="240"/>
      <c r="K169" s="170"/>
      <c r="L169" s="171" t="s">
        <v>1442</v>
      </c>
      <c r="M169" s="240"/>
      <c r="N169" s="80"/>
      <c r="P169" s="286"/>
    </row>
    <row r="170" spans="1:16" ht="15" customHeight="1" x14ac:dyDescent="0.3">
      <c r="C170" s="79"/>
      <c r="I170" s="171" t="s">
        <v>1438</v>
      </c>
      <c r="J170" s="365"/>
      <c r="K170" s="170"/>
      <c r="L170" s="171" t="s">
        <v>1438</v>
      </c>
      <c r="M170" s="365"/>
      <c r="N170" s="129"/>
      <c r="P170"/>
    </row>
    <row r="171" spans="1:16" ht="7.5" customHeight="1" x14ac:dyDescent="0.25">
      <c r="C171" s="79"/>
      <c r="N171" s="129"/>
      <c r="P171"/>
    </row>
    <row r="172" spans="1:16" ht="15" customHeight="1" x14ac:dyDescent="0.3">
      <c r="C172" s="79"/>
      <c r="D172" s="106" t="s">
        <v>1595</v>
      </c>
      <c r="I172" s="171" t="s">
        <v>1597</v>
      </c>
      <c r="J172" s="365"/>
      <c r="K172" s="170"/>
      <c r="L172" s="171" t="s">
        <v>1596</v>
      </c>
      <c r="M172" s="365"/>
      <c r="N172" s="80"/>
      <c r="P172" s="286"/>
    </row>
    <row r="173" spans="1:16" ht="7.5" customHeight="1" x14ac:dyDescent="0.25">
      <c r="C173" s="79"/>
      <c r="N173" s="129"/>
      <c r="P173"/>
    </row>
    <row r="174" spans="1:16" ht="15" customHeight="1" x14ac:dyDescent="0.3">
      <c r="C174" s="79"/>
      <c r="D174" s="106" t="str">
        <f>CONCATENATE("What is your annual investment on all comp assessments (in millions",
                               IF(NOT(ISBLANK(_Currency)), CONCATENATE(" of ", _Currency, ")?"), ")?"))</f>
        <v>What is your annual investment on all comp assessments (in millions)?</v>
      </c>
      <c r="I174" s="171" t="s">
        <v>1445</v>
      </c>
      <c r="J174" s="186"/>
      <c r="K174" s="170"/>
      <c r="L174" s="171" t="s">
        <v>1444</v>
      </c>
      <c r="M174" s="186"/>
      <c r="N174" s="80"/>
      <c r="P174" s="286"/>
    </row>
    <row r="175" spans="1:16" ht="7.5" customHeight="1" x14ac:dyDescent="0.25">
      <c r="C175" s="79"/>
      <c r="N175" s="129"/>
      <c r="P175"/>
    </row>
    <row r="176" spans="1:16" ht="15" customHeight="1" x14ac:dyDescent="0.3">
      <c r="C176" s="79"/>
      <c r="D176" s="84" t="s">
        <v>1446</v>
      </c>
      <c r="I176" s="171"/>
      <c r="J176" s="240"/>
      <c r="K176" s="170"/>
      <c r="L176" s="171" t="s">
        <v>1438</v>
      </c>
      <c r="M176" s="365"/>
      <c r="N176" s="80"/>
      <c r="P176" s="286"/>
    </row>
    <row r="177" spans="1:17" s="98" customFormat="1" ht="7.5" customHeight="1" x14ac:dyDescent="0.3">
      <c r="A177" s="36"/>
      <c r="C177" s="79"/>
      <c r="D177" s="84"/>
      <c r="E177" s="36"/>
      <c r="F177" s="36"/>
      <c r="G177" s="36"/>
      <c r="H177" s="36"/>
      <c r="I177" s="36"/>
      <c r="L177" s="239"/>
      <c r="M177" s="36"/>
      <c r="N177" s="129"/>
      <c r="O177" s="36"/>
    </row>
    <row r="178" spans="1:17" ht="15" customHeight="1" x14ac:dyDescent="0.3">
      <c r="C178" s="79"/>
      <c r="D178" s="353" t="s">
        <v>1447</v>
      </c>
      <c r="J178" s="477"/>
      <c r="K178" s="477"/>
      <c r="L178" s="477"/>
      <c r="M178" s="477"/>
      <c r="N178" s="129"/>
      <c r="P178"/>
    </row>
    <row r="179" spans="1:17" ht="7.5" customHeight="1" x14ac:dyDescent="0.25">
      <c r="C179" s="79"/>
      <c r="N179" s="129"/>
      <c r="P179"/>
    </row>
    <row r="180" spans="1:17" ht="7.5" customHeight="1" x14ac:dyDescent="0.25">
      <c r="C180" s="79"/>
      <c r="N180" s="129"/>
      <c r="P180"/>
    </row>
    <row r="181" spans="1:17" ht="15" customHeight="1" x14ac:dyDescent="0.3">
      <c r="C181" s="79"/>
      <c r="D181" s="84" t="s">
        <v>1448</v>
      </c>
      <c r="I181" s="171"/>
      <c r="J181" s="240"/>
      <c r="K181" s="488" t="s">
        <v>1438</v>
      </c>
      <c r="L181" s="488"/>
      <c r="M181" s="365"/>
      <c r="N181" s="80"/>
      <c r="P181" s="286"/>
    </row>
    <row r="182" spans="1:17" s="98" customFormat="1" ht="7.5" customHeight="1" x14ac:dyDescent="0.3">
      <c r="A182" s="36"/>
      <c r="C182" s="79"/>
      <c r="D182" s="84"/>
      <c r="E182" s="36"/>
      <c r="F182" s="36"/>
      <c r="G182" s="36"/>
      <c r="H182" s="36"/>
      <c r="I182" s="36"/>
      <c r="L182" s="239"/>
      <c r="M182" s="36"/>
      <c r="N182" s="129"/>
      <c r="O182" s="36"/>
    </row>
    <row r="183" spans="1:17" ht="15" customHeight="1" x14ac:dyDescent="0.3">
      <c r="C183" s="79"/>
      <c r="D183" s="353" t="s">
        <v>1449</v>
      </c>
      <c r="J183" s="477"/>
      <c r="K183" s="477"/>
      <c r="L183" s="477"/>
      <c r="M183" s="477"/>
      <c r="N183" s="129"/>
      <c r="P183"/>
    </row>
    <row r="184" spans="1:17" ht="7.5" customHeight="1" x14ac:dyDescent="0.25">
      <c r="C184" s="79"/>
      <c r="N184" s="129"/>
      <c r="P184"/>
    </row>
    <row r="185" spans="1:17" ht="15" customHeight="1" x14ac:dyDescent="0.3">
      <c r="C185" s="79"/>
      <c r="D185" s="106" t="str">
        <f>CONCATENATE("What is your firm's annual spend on leadership training (in millions",
                               IF(NOT(ISBLANK(_Currency)), CONCATENATE(" of ", _Currency, ")?"), ")?"))</f>
        <v>What is your firm's annual spend on leadership training (in millions)?</v>
      </c>
      <c r="I185" s="171" t="s">
        <v>1445</v>
      </c>
      <c r="J185" s="186"/>
      <c r="K185" s="170"/>
      <c r="L185" s="171" t="s">
        <v>1444</v>
      </c>
      <c r="M185" s="186"/>
      <c r="N185" s="80"/>
      <c r="P185" s="286"/>
    </row>
    <row r="186" spans="1:17" ht="7.5" customHeight="1" x14ac:dyDescent="0.25">
      <c r="C186" s="79"/>
      <c r="N186" s="129"/>
      <c r="P186"/>
    </row>
    <row r="187" spans="1:17" ht="7.5" customHeight="1" x14ac:dyDescent="0.25">
      <c r="C187" s="148"/>
      <c r="D187" s="118"/>
      <c r="E187" s="118"/>
      <c r="F187" s="118"/>
      <c r="G187" s="118"/>
      <c r="H187" s="118"/>
      <c r="I187" s="118"/>
      <c r="J187" s="118"/>
      <c r="K187" s="118"/>
      <c r="L187" s="118"/>
      <c r="M187" s="118"/>
      <c r="N187" s="181"/>
      <c r="O187" s="58"/>
      <c r="P187" s="49"/>
      <c r="Q187" s="58"/>
    </row>
    <row r="188" spans="1:17" ht="7.5" customHeight="1" x14ac:dyDescent="0.25"/>
    <row r="189" spans="1:17" ht="7.5" customHeight="1" x14ac:dyDescent="0.25">
      <c r="C189" s="151"/>
      <c r="D189" s="152"/>
      <c r="E189" s="152"/>
      <c r="F189" s="152"/>
      <c r="G189" s="152"/>
      <c r="H189" s="152"/>
      <c r="I189" s="152"/>
      <c r="J189" s="152"/>
      <c r="K189" s="152"/>
      <c r="L189" s="152"/>
      <c r="M189" s="152"/>
      <c r="N189" s="153"/>
    </row>
    <row r="190" spans="1:17" ht="15" customHeight="1" x14ac:dyDescent="0.35">
      <c r="C190" s="79"/>
      <c r="D190" s="69" t="s">
        <v>1336</v>
      </c>
      <c r="N190" s="80"/>
    </row>
    <row r="191" spans="1:17" ht="7.5" customHeight="1" x14ac:dyDescent="0.25">
      <c r="C191" s="79"/>
      <c r="G191" s="363"/>
      <c r="H191" s="363"/>
      <c r="N191" s="80"/>
    </row>
    <row r="192" spans="1:17" ht="15" customHeight="1" x14ac:dyDescent="0.3">
      <c r="C192" s="79"/>
      <c r="D192" s="347" t="s">
        <v>1431</v>
      </c>
      <c r="E192" s="23"/>
      <c r="F192" s="23"/>
      <c r="G192" s="23"/>
      <c r="H192"/>
      <c r="I192" s="376"/>
      <c r="J192"/>
      <c r="K192"/>
      <c r="L192"/>
      <c r="M192" s="345"/>
      <c r="N192" s="331"/>
    </row>
    <row r="193" spans="3:16" ht="7.5" customHeight="1" x14ac:dyDescent="0.25">
      <c r="C193" s="79"/>
      <c r="D193"/>
      <c r="E193"/>
      <c r="F193"/>
      <c r="G193"/>
      <c r="H193"/>
      <c r="I193"/>
      <c r="J193"/>
      <c r="K193"/>
      <c r="L193"/>
      <c r="M193"/>
      <c r="N193" s="331"/>
    </row>
    <row r="194" spans="3:16" ht="15" customHeight="1" x14ac:dyDescent="0.3">
      <c r="C194" s="79"/>
      <c r="D194" s="376" t="s">
        <v>1337</v>
      </c>
      <c r="E194"/>
      <c r="F194"/>
      <c r="G194" s="100" t="str">
        <f>CONCATENATE("(Millions",
                               IF(NOT(ISBLANK(_Currency)), CONCATENATE(" of ", _Currency, ")"), ")"))</f>
        <v>(Millions)</v>
      </c>
      <c r="H194" s="144"/>
      <c r="I194" s="376" t="s">
        <v>1338</v>
      </c>
      <c r="J194"/>
      <c r="K194" s="345"/>
      <c r="L194" s="377" t="s">
        <v>1339</v>
      </c>
      <c r="M194" s="345"/>
      <c r="N194" s="331"/>
    </row>
    <row r="195" spans="3:16" ht="7.5" customHeight="1" x14ac:dyDescent="0.25">
      <c r="C195" s="79"/>
      <c r="D195"/>
      <c r="E195"/>
      <c r="F195"/>
      <c r="G195"/>
      <c r="H195"/>
      <c r="I195"/>
      <c r="J195"/>
      <c r="K195"/>
      <c r="L195"/>
      <c r="M195"/>
      <c r="N195" s="331"/>
    </row>
    <row r="196" spans="3:16" ht="15" customHeight="1" x14ac:dyDescent="0.3">
      <c r="C196" s="79"/>
      <c r="D196" s="347" t="s">
        <v>1432</v>
      </c>
      <c r="J196"/>
      <c r="K196"/>
      <c r="L196"/>
      <c r="M196" s="345"/>
      <c r="N196" s="331"/>
    </row>
    <row r="197" spans="3:16" ht="7.5" customHeight="1" x14ac:dyDescent="0.25">
      <c r="C197" s="79"/>
      <c r="D197"/>
      <c r="E197"/>
      <c r="F197"/>
      <c r="G197"/>
      <c r="H197"/>
      <c r="I197"/>
      <c r="J197"/>
      <c r="K197"/>
      <c r="L197"/>
      <c r="M197"/>
      <c r="N197" s="331"/>
    </row>
    <row r="198" spans="3:16" ht="15" customHeight="1" x14ac:dyDescent="0.3">
      <c r="C198" s="79"/>
      <c r="D198" s="376" t="s">
        <v>1337</v>
      </c>
      <c r="E198"/>
      <c r="F198"/>
      <c r="G198" s="100" t="str">
        <f>CONCATENATE("(Millions",
                               IF(NOT(ISBLANK(_Currency)), CONCATENATE(" of ", _Currency, ")"), ")"))</f>
        <v>(Millions)</v>
      </c>
      <c r="H198" s="144"/>
      <c r="I198" s="376" t="s">
        <v>1338</v>
      </c>
      <c r="J198"/>
      <c r="K198" s="345"/>
      <c r="L198" s="377" t="s">
        <v>1339</v>
      </c>
      <c r="M198" s="345"/>
      <c r="N198" s="331"/>
    </row>
    <row r="199" spans="3:16" ht="7.5" customHeight="1" x14ac:dyDescent="0.25">
      <c r="C199" s="79"/>
      <c r="D199"/>
      <c r="E199"/>
      <c r="F199"/>
      <c r="G199"/>
      <c r="H199"/>
      <c r="I199"/>
      <c r="J199"/>
      <c r="K199"/>
      <c r="L199"/>
      <c r="M199"/>
      <c r="N199" s="331"/>
    </row>
    <row r="200" spans="3:16" ht="15" customHeight="1" x14ac:dyDescent="0.3">
      <c r="C200" s="79"/>
      <c r="D200" s="349" t="s">
        <v>1343</v>
      </c>
      <c r="L200" s="191" t="s">
        <v>65</v>
      </c>
      <c r="M200" s="430" t="str">
        <f>IF(COUNT(F202,I202,M202)&gt;0,
       SUM(F202,I202,M202), "")</f>
        <v/>
      </c>
      <c r="N200" s="331"/>
      <c r="P200" s="286" t="str">
        <f>IF(COUNT(F202,I202,M202)&gt;0, IF(SUM(F202,I202,M202)=1, "OK", "Total not 100%."), "OK")</f>
        <v>OK</v>
      </c>
    </row>
    <row r="201" spans="3:16" ht="7.5" customHeight="1" x14ac:dyDescent="0.3">
      <c r="C201" s="79"/>
      <c r="D201" s="84"/>
      <c r="N201" s="80"/>
    </row>
    <row r="202" spans="3:16" ht="15" customHeight="1" x14ac:dyDescent="0.3">
      <c r="C202" s="79"/>
      <c r="E202" s="100" t="s">
        <v>1362</v>
      </c>
      <c r="F202" s="256"/>
      <c r="G202" s="305"/>
      <c r="H202" s="100" t="s">
        <v>1344</v>
      </c>
      <c r="I202" s="256"/>
      <c r="J202" s="305"/>
      <c r="L202" s="100" t="s">
        <v>1345</v>
      </c>
      <c r="M202" s="256"/>
      <c r="N202" s="331"/>
    </row>
    <row r="203" spans="3:16" ht="7.5" customHeight="1" x14ac:dyDescent="0.25">
      <c r="C203" s="79"/>
      <c r="N203" s="80"/>
    </row>
    <row r="204" spans="3:16" ht="15" customHeight="1" x14ac:dyDescent="0.3">
      <c r="C204" s="79"/>
      <c r="D204" s="22" t="s">
        <v>1340</v>
      </c>
      <c r="E204"/>
      <c r="F204"/>
      <c r="G204"/>
      <c r="H204"/>
      <c r="I204"/>
      <c r="J204"/>
      <c r="K204"/>
      <c r="L204"/>
      <c r="M204" s="345"/>
      <c r="N204" s="80"/>
    </row>
    <row r="205" spans="3:16" ht="7.5" customHeight="1" x14ac:dyDescent="0.25">
      <c r="C205" s="79"/>
      <c r="N205" s="80"/>
    </row>
    <row r="206" spans="3:16" ht="15" hidden="1" customHeight="1" x14ac:dyDescent="0.3">
      <c r="C206" s="79"/>
      <c r="D206" s="22" t="s">
        <v>1341</v>
      </c>
      <c r="E206"/>
      <c r="F206"/>
      <c r="G206"/>
      <c r="H206"/>
      <c r="I206"/>
      <c r="J206"/>
      <c r="K206"/>
      <c r="L206"/>
      <c r="M206" s="345"/>
      <c r="N206" s="80"/>
    </row>
    <row r="207" spans="3:16" ht="7.5" hidden="1" customHeight="1" x14ac:dyDescent="0.25">
      <c r="C207" s="79"/>
      <c r="N207" s="80"/>
    </row>
    <row r="208" spans="3:16" ht="15" customHeight="1" x14ac:dyDescent="0.3">
      <c r="C208" s="79"/>
      <c r="D208" s="349" t="s">
        <v>1342</v>
      </c>
      <c r="M208" s="241"/>
      <c r="N208" s="80"/>
    </row>
    <row r="209" spans="1:16" ht="7.5" customHeight="1" x14ac:dyDescent="0.25">
      <c r="C209" s="79"/>
      <c r="N209" s="129"/>
      <c r="P209"/>
    </row>
    <row r="210" spans="1:16" ht="15" customHeight="1" x14ac:dyDescent="0.3">
      <c r="C210" s="79"/>
      <c r="D210" s="84" t="s">
        <v>1610</v>
      </c>
      <c r="G210" s="240"/>
      <c r="N210" s="80"/>
      <c r="P210" s="286" t="str">
        <f>IF(COUNT(G210, K210, J232, M232)&gt;0, IF(SUM(G210, K210, J232, M232)=1, "OK", "Total not 100%."), "OK")</f>
        <v>OK</v>
      </c>
    </row>
    <row r="211" spans="1:16" s="98" customFormat="1" ht="7.5" customHeight="1" x14ac:dyDescent="0.3">
      <c r="A211" s="36"/>
      <c r="C211" s="79"/>
      <c r="D211" s="84"/>
      <c r="E211" s="36"/>
      <c r="F211" s="36"/>
      <c r="G211" s="36"/>
      <c r="H211" s="36"/>
      <c r="I211" s="36"/>
      <c r="L211" s="239"/>
      <c r="M211" s="36"/>
      <c r="N211" s="129"/>
      <c r="O211" s="36"/>
    </row>
    <row r="212" spans="1:16" ht="15" customHeight="1" x14ac:dyDescent="0.3">
      <c r="C212" s="79"/>
      <c r="D212" s="353" t="s">
        <v>1450</v>
      </c>
      <c r="G212" s="477"/>
      <c r="H212" s="477"/>
      <c r="N212" s="129"/>
      <c r="P212"/>
    </row>
    <row r="213" spans="1:16" ht="7.5" customHeight="1" x14ac:dyDescent="0.25">
      <c r="C213" s="79"/>
      <c r="N213" s="129"/>
      <c r="P213"/>
    </row>
    <row r="214" spans="1:16" ht="15" hidden="1" customHeight="1" x14ac:dyDescent="0.3">
      <c r="C214" s="79"/>
      <c r="D214" s="106" t="str">
        <f>CONCATENATE("What is your firm's annual investment (in millions",
                               IF(NOT(ISBLANK(_Currency)), CONCATENATE(" of ", _Currency, ")?"), ")?"))</f>
        <v>What is your firm's annual investment (in millions)?</v>
      </c>
      <c r="I214" s="171" t="s">
        <v>1445</v>
      </c>
      <c r="J214" s="186"/>
      <c r="K214" s="170"/>
      <c r="L214" s="171" t="s">
        <v>1444</v>
      </c>
      <c r="M214" s="186"/>
      <c r="N214" s="80"/>
      <c r="P214" s="286" t="str">
        <f>IF(COUNT(J214, M214, J236, M236)&gt;0, IF(SUM(J214, M214, J236, M236)=1, "OK", "Total not 100%."), "OK")</f>
        <v>OK</v>
      </c>
    </row>
    <row r="215" spans="1:16" ht="7.5" hidden="1" customHeight="1" x14ac:dyDescent="0.25">
      <c r="C215" s="79"/>
      <c r="N215" s="129"/>
      <c r="P215"/>
    </row>
    <row r="216" spans="1:16" ht="15" customHeight="1" x14ac:dyDescent="0.3">
      <c r="C216" s="79"/>
      <c r="D216" s="106" t="s">
        <v>1594</v>
      </c>
      <c r="G216" s="170"/>
      <c r="J216" s="240"/>
      <c r="N216" s="80"/>
      <c r="P216" s="286" t="str">
        <f>IF(COUNT(J216, I216, J238, M238)&gt;0, IF(SUM(J216, I216, J238, M238)=1, "OK", "Total not 100%."), "OK")</f>
        <v>OK</v>
      </c>
    </row>
    <row r="217" spans="1:16" ht="7.5" customHeight="1" x14ac:dyDescent="0.25">
      <c r="C217" s="79"/>
      <c r="N217" s="129"/>
      <c r="P217"/>
    </row>
    <row r="218" spans="1:16" ht="15" customHeight="1" x14ac:dyDescent="0.3">
      <c r="C218" s="79"/>
      <c r="D218" s="84" t="s">
        <v>1478</v>
      </c>
      <c r="G218" s="170"/>
      <c r="H218" s="240"/>
      <c r="N218" s="80"/>
      <c r="P218" s="286" t="str">
        <f>IF(COUNT(H218, I218, J240, M240)&gt;0, IF(SUM(H218, I218, J240, M240)=1, "OK", "Total not 100%."), "OK")</f>
        <v>OK</v>
      </c>
    </row>
    <row r="219" spans="1:16" ht="7.5" customHeight="1" x14ac:dyDescent="0.25">
      <c r="C219" s="148"/>
      <c r="D219" s="118"/>
      <c r="E219" s="118"/>
      <c r="F219" s="118"/>
      <c r="G219" s="118"/>
      <c r="H219" s="118"/>
      <c r="I219" s="118"/>
      <c r="J219" s="118"/>
      <c r="K219" s="118"/>
      <c r="L219" s="118"/>
      <c r="M219" s="118"/>
      <c r="N219" s="181"/>
    </row>
    <row r="220" spans="1:16" ht="7.5" customHeight="1" x14ac:dyDescent="0.25"/>
    <row r="221" spans="1:16" ht="7.5" customHeight="1" x14ac:dyDescent="0.25">
      <c r="C221" s="151"/>
      <c r="D221" s="152"/>
      <c r="E221" s="152"/>
      <c r="F221" s="152"/>
      <c r="G221" s="152"/>
      <c r="H221" s="152"/>
      <c r="I221" s="152"/>
      <c r="J221" s="152"/>
      <c r="K221" s="152"/>
      <c r="L221" s="152"/>
      <c r="M221" s="152"/>
      <c r="N221" s="153"/>
    </row>
    <row r="222" spans="1:16" ht="18.75" customHeight="1" x14ac:dyDescent="0.35">
      <c r="C222" s="79"/>
      <c r="D222" s="69" t="s">
        <v>961</v>
      </c>
      <c r="E222" s="70"/>
      <c r="F222" s="70"/>
      <c r="G222" s="71"/>
      <c r="H222" s="72"/>
      <c r="I222" s="72"/>
      <c r="J222" s="72"/>
      <c r="K222" s="72"/>
      <c r="L222" s="70"/>
      <c r="N222" s="80"/>
    </row>
    <row r="223" spans="1:16" ht="7.5" customHeight="1" x14ac:dyDescent="0.35">
      <c r="C223" s="79"/>
      <c r="D223" s="69"/>
      <c r="E223" s="70"/>
      <c r="F223" s="70"/>
      <c r="G223" s="71"/>
      <c r="H223" s="72"/>
      <c r="I223" s="72"/>
      <c r="J223" s="72"/>
      <c r="K223" s="72"/>
      <c r="L223" s="70"/>
      <c r="N223" s="80"/>
    </row>
    <row r="224" spans="1:16" ht="15" customHeight="1" x14ac:dyDescent="0.3">
      <c r="C224" s="79"/>
      <c r="D224" s="84" t="s">
        <v>962</v>
      </c>
      <c r="H224" s="261"/>
      <c r="L224" s="100" t="s">
        <v>1350</v>
      </c>
      <c r="M224" s="261"/>
      <c r="N224" s="80"/>
    </row>
    <row r="225" spans="3:14" ht="7.5" customHeight="1" x14ac:dyDescent="0.25">
      <c r="C225" s="79"/>
      <c r="N225" s="80"/>
    </row>
    <row r="226" spans="3:14" ht="15" customHeight="1" x14ac:dyDescent="0.3">
      <c r="C226" s="79"/>
      <c r="D226" s="84" t="s">
        <v>994</v>
      </c>
      <c r="H226" s="261"/>
      <c r="L226" s="100" t="s">
        <v>995</v>
      </c>
      <c r="M226" s="165"/>
      <c r="N226" s="80"/>
    </row>
    <row r="227" spans="3:14" ht="7.5" customHeight="1" x14ac:dyDescent="0.25">
      <c r="C227" s="79"/>
      <c r="N227" s="80"/>
    </row>
    <row r="228" spans="3:14" ht="15" customHeight="1" x14ac:dyDescent="0.3">
      <c r="C228" s="79"/>
      <c r="D228" s="84" t="s">
        <v>997</v>
      </c>
      <c r="G228" s="190"/>
      <c r="H228" s="261"/>
      <c r="I228" s="260"/>
      <c r="L228" s="100" t="s">
        <v>996</v>
      </c>
      <c r="M228" s="241"/>
      <c r="N228" s="80"/>
    </row>
    <row r="229" spans="3:14" ht="7.5" customHeight="1" x14ac:dyDescent="0.25">
      <c r="C229" s="148"/>
      <c r="D229" s="118"/>
      <c r="E229" s="118"/>
      <c r="F229" s="118"/>
      <c r="G229" s="118"/>
      <c r="H229" s="118"/>
      <c r="I229" s="118"/>
      <c r="J229" s="118"/>
      <c r="K229" s="118"/>
      <c r="L229" s="118"/>
      <c r="M229" s="118"/>
      <c r="N229" s="181"/>
    </row>
    <row r="230" spans="3:14" ht="7.5" customHeight="1" x14ac:dyDescent="0.25"/>
    <row r="231" spans="3:14" ht="7.5" customHeight="1" x14ac:dyDescent="0.25">
      <c r="C231" s="151"/>
      <c r="D231" s="152"/>
      <c r="E231" s="152"/>
      <c r="F231" s="152"/>
      <c r="G231" s="152"/>
      <c r="H231" s="152"/>
      <c r="I231" s="152"/>
      <c r="J231" s="152"/>
      <c r="K231" s="152"/>
      <c r="L231" s="152"/>
      <c r="M231" s="152"/>
      <c r="N231" s="153"/>
    </row>
    <row r="232" spans="3:14" ht="18.75" customHeight="1" x14ac:dyDescent="0.35">
      <c r="C232" s="68"/>
      <c r="D232" s="69" t="s">
        <v>586</v>
      </c>
      <c r="E232" s="70"/>
      <c r="F232" s="70"/>
      <c r="G232" s="71"/>
      <c r="H232" s="72"/>
      <c r="I232" s="72"/>
      <c r="J232" s="72"/>
      <c r="K232" s="72"/>
      <c r="L232" s="70"/>
      <c r="M232" s="70"/>
      <c r="N232" s="73"/>
    </row>
    <row r="233" spans="3:14" ht="7.5" customHeight="1" x14ac:dyDescent="0.25">
      <c r="C233" s="79"/>
      <c r="N233" s="80"/>
    </row>
    <row r="234" spans="3:14" ht="14.45" customHeight="1" x14ac:dyDescent="0.3">
      <c r="C234" s="79"/>
      <c r="D234" s="84" t="s">
        <v>588</v>
      </c>
      <c r="N234" s="80"/>
    </row>
    <row r="235" spans="3:14" ht="7.5" customHeight="1" x14ac:dyDescent="0.25">
      <c r="C235" s="79"/>
      <c r="N235" s="80"/>
    </row>
    <row r="236" spans="3:14" ht="14.45" customHeight="1" x14ac:dyDescent="0.25">
      <c r="C236" s="79"/>
      <c r="D236" s="489"/>
      <c r="E236" s="490"/>
      <c r="F236" s="490"/>
      <c r="G236" s="490"/>
      <c r="H236" s="490"/>
      <c r="I236" s="490"/>
      <c r="J236" s="490"/>
      <c r="K236" s="490"/>
      <c r="L236" s="490"/>
      <c r="N236" s="80"/>
    </row>
    <row r="237" spans="3:14" ht="7.5" customHeight="1" x14ac:dyDescent="0.25">
      <c r="C237" s="79"/>
      <c r="N237" s="80"/>
    </row>
    <row r="238" spans="3:14" ht="14.45" customHeight="1" x14ac:dyDescent="0.3">
      <c r="C238" s="79"/>
      <c r="D238" s="84" t="s">
        <v>587</v>
      </c>
      <c r="N238" s="80"/>
    </row>
    <row r="239" spans="3:14" ht="7.5" customHeight="1" x14ac:dyDescent="0.25">
      <c r="C239" s="79"/>
      <c r="N239" s="80"/>
    </row>
    <row r="240" spans="3:14" ht="15" customHeight="1" x14ac:dyDescent="0.25">
      <c r="C240" s="79"/>
      <c r="D240" s="489"/>
      <c r="E240" s="490"/>
      <c r="F240" s="490"/>
      <c r="G240" s="490"/>
      <c r="H240" s="490"/>
      <c r="I240" s="490"/>
      <c r="J240" s="490"/>
      <c r="K240" s="490"/>
      <c r="L240" s="490"/>
      <c r="N240" s="80"/>
    </row>
    <row r="241" spans="3:14" ht="7.5" customHeight="1" x14ac:dyDescent="0.25">
      <c r="C241" s="148"/>
      <c r="D241" s="118"/>
      <c r="E241" s="118"/>
      <c r="F241" s="118"/>
      <c r="G241" s="118"/>
      <c r="H241" s="118"/>
      <c r="I241" s="118"/>
      <c r="J241" s="118"/>
      <c r="K241" s="118"/>
      <c r="L241" s="118"/>
      <c r="M241" s="118"/>
      <c r="N241" s="181"/>
    </row>
    <row r="242" spans="3:14" ht="15" customHeight="1" x14ac:dyDescent="0.25"/>
    <row r="243" spans="3:14" ht="15" customHeight="1" x14ac:dyDescent="0.25"/>
  </sheetData>
  <mergeCells count="40">
    <mergeCell ref="K181:L181"/>
    <mergeCell ref="G212:H212"/>
    <mergeCell ref="D236:L236"/>
    <mergeCell ref="D240:L240"/>
    <mergeCell ref="J183:M183"/>
    <mergeCell ref="J178:M178"/>
    <mergeCell ref="I77:L77"/>
    <mergeCell ref="H79:M79"/>
    <mergeCell ref="F87:H87"/>
    <mergeCell ref="J83:M83"/>
    <mergeCell ref="J85:M85"/>
    <mergeCell ref="J87:M87"/>
    <mergeCell ref="F83:H83"/>
    <mergeCell ref="F85:H85"/>
    <mergeCell ref="J167:M167"/>
    <mergeCell ref="D9:M9"/>
    <mergeCell ref="K11:M11"/>
    <mergeCell ref="E13:F13"/>
    <mergeCell ref="K13:M13"/>
    <mergeCell ref="H13:I13"/>
    <mergeCell ref="E11:F11"/>
    <mergeCell ref="H11:I11"/>
    <mergeCell ref="F46:M46"/>
    <mergeCell ref="K67:M67"/>
    <mergeCell ref="L61:M61"/>
    <mergeCell ref="K15:M15"/>
    <mergeCell ref="K17:M17"/>
    <mergeCell ref="K19:M19"/>
    <mergeCell ref="H19:I19"/>
    <mergeCell ref="E19:F19"/>
    <mergeCell ref="E15:F15"/>
    <mergeCell ref="H15:I15"/>
    <mergeCell ref="H17:I17"/>
    <mergeCell ref="E17:F17"/>
    <mergeCell ref="I29:M29"/>
    <mergeCell ref="K71:M71"/>
    <mergeCell ref="L69:M69"/>
    <mergeCell ref="I60:M60"/>
    <mergeCell ref="L161:M161"/>
    <mergeCell ref="H50:M50"/>
  </mergeCells>
  <conditionalFormatting sqref="E27">
    <cfRule type="expression" dxfId="43" priority="73">
      <formula>NOT($J$25="Yes")</formula>
    </cfRule>
  </conditionalFormatting>
  <conditionalFormatting sqref="F202 I202 M202 M204">
    <cfRule type="expression" dxfId="42" priority="70">
      <formula>NOT(OR($M$192="Yes", $M$196="Yes"))</formula>
    </cfRule>
  </conditionalFormatting>
  <conditionalFormatting sqref="G27">
    <cfRule type="expression" dxfId="41" priority="77">
      <formula>NOT($J$25="Yes")</formula>
    </cfRule>
  </conditionalFormatting>
  <conditionalFormatting sqref="G212:H212 J216">
    <cfRule type="expression" dxfId="40" priority="461">
      <formula>AND(OR(ISBLANK($G$210),$G$210="No, but we are considering it",$G$210="No, and we are not planning to"),ISBLANK($K$210))</formula>
    </cfRule>
  </conditionalFormatting>
  <conditionalFormatting sqref="H194 K194 M194">
    <cfRule type="expression" dxfId="39" priority="68">
      <formula>NOT($M$192="Yes")</formula>
    </cfRule>
  </conditionalFormatting>
  <conditionalFormatting sqref="H198 K198 M198">
    <cfRule type="expression" dxfId="38" priority="69">
      <formula>NOT($M$196="Yes")</formula>
    </cfRule>
  </conditionalFormatting>
  <conditionalFormatting sqref="I27">
    <cfRule type="expression" dxfId="37" priority="74">
      <formula>NOT($J$25="Yes")</formula>
    </cfRule>
  </conditionalFormatting>
  <conditionalFormatting sqref="J167:M167">
    <cfRule type="expression" dxfId="36" priority="44">
      <formula>NOT($M$165="Yes")</formula>
    </cfRule>
  </conditionalFormatting>
  <conditionalFormatting sqref="K27">
    <cfRule type="expression" dxfId="35" priority="75">
      <formula>NOT($J$25="Yes")</formula>
    </cfRule>
  </conditionalFormatting>
  <conditionalFormatting sqref="K52 M52">
    <cfRule type="expression" dxfId="34" priority="89">
      <formula>NOT($H$52="Yes")</formula>
    </cfRule>
  </conditionalFormatting>
  <conditionalFormatting sqref="L161:M161 M163">
    <cfRule type="expression" dxfId="33" priority="45">
      <formula>NOT($M$159="Yes")</formula>
    </cfRule>
  </conditionalFormatting>
  <conditionalFormatting sqref="M27">
    <cfRule type="expression" dxfId="32" priority="100">
      <formula>NOT($K$27="Yes")</formula>
    </cfRule>
  </conditionalFormatting>
  <conditionalFormatting sqref="M31">
    <cfRule type="expression" dxfId="31" priority="1">
      <formula>AND(NOT($I$29="Yes, but the contribution to our bottom line is minimal"),NOT($I$29="Yes, and we are happy about its performance "),NOT($I$29="Yes, but we want to significantly expand, upskill or grow this practice"))</formula>
    </cfRule>
  </conditionalFormatting>
  <conditionalFormatting sqref="M54">
    <cfRule type="expression" dxfId="30" priority="90">
      <formula>NOT($H$54="Yes")</formula>
    </cfRule>
  </conditionalFormatting>
  <conditionalFormatting sqref="M56">
    <cfRule type="expression" dxfId="29" priority="91">
      <formula>NOT($H$56="Yes")</formula>
    </cfRule>
  </conditionalFormatting>
  <conditionalFormatting sqref="M63 M65">
    <cfRule type="expression" dxfId="28" priority="11">
      <formula>OR($L$61="No",ISBLANK($L$61))</formula>
    </cfRule>
  </conditionalFormatting>
  <conditionalFormatting sqref="M206">
    <cfRule type="expression" dxfId="27" priority="67">
      <formula>NOT(OR($M$84="Yes", $M$88="Yes"))</formula>
    </cfRule>
  </conditionalFormatting>
  <conditionalFormatting sqref="M226">
    <cfRule type="expression" dxfId="26" priority="98">
      <formula>NOT(H226="Yes")</formula>
    </cfRule>
  </conditionalFormatting>
  <conditionalFormatting sqref="M228">
    <cfRule type="expression" dxfId="25" priority="99">
      <formula>NOT(H228="Yes")</formula>
    </cfRule>
  </conditionalFormatting>
  <conditionalFormatting sqref="N156:N157">
    <cfRule type="cellIs" dxfId="24" priority="54" operator="equal">
      <formula>"OK"</formula>
    </cfRule>
    <cfRule type="cellIs" dxfId="23" priority="53" operator="notEqual">
      <formula>"OK"</formula>
    </cfRule>
  </conditionalFormatting>
  <conditionalFormatting sqref="N159:N168 P169">
    <cfRule type="cellIs" dxfId="22" priority="42" operator="notEqual">
      <formula>"OK"</formula>
    </cfRule>
    <cfRule type="cellIs" dxfId="21" priority="43" operator="equal">
      <formula>"OK"</formula>
    </cfRule>
  </conditionalFormatting>
  <conditionalFormatting sqref="N170:N171 P172">
    <cfRule type="cellIs" dxfId="20" priority="5" operator="notEqual">
      <formula>"OK"</formula>
    </cfRule>
    <cfRule type="cellIs" dxfId="19" priority="6" operator="equal">
      <formula>"OK"</formula>
    </cfRule>
  </conditionalFormatting>
  <conditionalFormatting sqref="N173 P174">
    <cfRule type="cellIs" dxfId="18" priority="39" operator="equal">
      <formula>"OK"</formula>
    </cfRule>
    <cfRule type="cellIs" dxfId="17" priority="38" operator="notEqual">
      <formula>"OK"</formula>
    </cfRule>
  </conditionalFormatting>
  <conditionalFormatting sqref="N175 P176">
    <cfRule type="cellIs" dxfId="16" priority="34" operator="notEqual">
      <formula>"OK"</formula>
    </cfRule>
    <cfRule type="cellIs" dxfId="15" priority="35" operator="equal">
      <formula>"OK"</formula>
    </cfRule>
  </conditionalFormatting>
  <conditionalFormatting sqref="N177:N180 P181">
    <cfRule type="cellIs" dxfId="14" priority="29" operator="equal">
      <formula>"OK"</formula>
    </cfRule>
    <cfRule type="cellIs" dxfId="13" priority="28" operator="notEqual">
      <formula>"OK"</formula>
    </cfRule>
  </conditionalFormatting>
  <conditionalFormatting sqref="N182:N184 P185">
    <cfRule type="cellIs" dxfId="12" priority="25" operator="equal">
      <formula>"OK"</formula>
    </cfRule>
    <cfRule type="cellIs" dxfId="11" priority="24" operator="notEqual">
      <formula>"OK"</formula>
    </cfRule>
  </conditionalFormatting>
  <conditionalFormatting sqref="N186">
    <cfRule type="cellIs" dxfId="10" priority="23" operator="equal">
      <formula>"OK"</formula>
    </cfRule>
    <cfRule type="cellIs" dxfId="9" priority="22" operator="notEqual">
      <formula>"OK"</formula>
    </cfRule>
  </conditionalFormatting>
  <conditionalFormatting sqref="N209 P210">
    <cfRule type="cellIs" dxfId="8" priority="19" operator="equal">
      <formula>"OK"</formula>
    </cfRule>
    <cfRule type="cellIs" dxfId="7" priority="18" operator="notEqual">
      <formula>"OK"</formula>
    </cfRule>
  </conditionalFormatting>
  <conditionalFormatting sqref="N211:N213 P214">
    <cfRule type="cellIs" dxfId="6" priority="14" operator="notEqual">
      <formula>"OK"</formula>
    </cfRule>
    <cfRule type="cellIs" dxfId="5" priority="15" operator="equal">
      <formula>"OK"</formula>
    </cfRule>
  </conditionalFormatting>
  <conditionalFormatting sqref="N215 P216 N217 P218">
    <cfRule type="cellIs" dxfId="4" priority="9" operator="notEqual">
      <formula>"OK"</formula>
    </cfRule>
    <cfRule type="cellIs" dxfId="3" priority="10" operator="equal">
      <formula>"OK"</formula>
    </cfRule>
  </conditionalFormatting>
  <conditionalFormatting sqref="P200">
    <cfRule type="cellIs" dxfId="2" priority="50" operator="notEqual">
      <formula>"OK"</formula>
    </cfRule>
    <cfRule type="cellIs" dxfId="1" priority="51" operator="equal">
      <formula>"OK"</formula>
    </cfRule>
  </conditionalFormatting>
  <dataValidations count="20">
    <dataValidation type="list" allowBlank="1" showInputMessage="1" showErrorMessage="1" sqref="H228 H226 H224 M192 M196 M224 M159 M165" xr:uid="{2AB7B0C5-C2EB-4E6C-827C-CEE57F831689}">
      <formula1>INDIRECT("Dropdown_YesNo")</formula1>
    </dataValidation>
    <dataValidation type="decimal" allowBlank="1" showInputMessage="1" showErrorMessage="1" sqref="M228 M226" xr:uid="{6DA247D8-34BD-4FB4-A74A-D18E0A40A0BA}">
      <formula1>-100</formula1>
      <formula2>100</formula2>
    </dataValidation>
    <dataValidation type="custom" allowBlank="1" showInputMessage="1" showErrorMessage="1" sqref="H48 M27 M39 K52 H198 M31 J214 G39 H194 J39 F202 I202 M202 J174 M174 J185 M185 M43:M65 G43:G65 J43:J65 M214" xr:uid="{818F2609-B3C4-484C-A353-2A912D7594FF}">
      <formula1>ISNUMBER(F27)</formula1>
    </dataValidation>
    <dataValidation type="list" allowBlank="1" showInputMessage="1" showErrorMessage="1" sqref="K27" xr:uid="{43BDCBB5-1306-47BD-9F32-6B7341CF013D}">
      <formula1>Dropdown_YesNo</formula1>
    </dataValidation>
    <dataValidation type="list" allowBlank="1" showInputMessage="1" showErrorMessage="1" sqref="H50:M50" xr:uid="{CC98CA1E-85BB-4657-9814-BE7BDAF1A7AE}">
      <formula1>Dropdown_SustainabilityPerfReport</formula1>
    </dataValidation>
    <dataValidation type="list" allowBlank="1" showInputMessage="1" showErrorMessage="1" sqref="J25" xr:uid="{44524483-0235-46F9-9584-741F20250D49}">
      <formula1>Dropdown_Sustainability</formula1>
    </dataValidation>
    <dataValidation type="list" allowBlank="1" showInputMessage="1" showErrorMessage="1" sqref="K194 K198" xr:uid="{F7D2D700-4FC3-4147-9880-35FE21F81662}">
      <formula1>"Price Increase, Margin Expansion, Increase to Win %"</formula1>
    </dataValidation>
    <dataValidation type="list" allowBlank="1" showInputMessage="1" showErrorMessage="1" sqref="M194 M198" xr:uid="{F3BFD449-1BAD-4D7B-80ED-2C6487EC73B3}">
      <formula1>"&gt;10%, 5-10%, &lt;5%, None so far, Not sure"</formula1>
    </dataValidation>
    <dataValidation type="list" allowBlank="1" showInputMessage="1" showErrorMessage="1" sqref="M204 M206" xr:uid="{365565F4-C27F-41C1-8B81-F9B4B84EA79D}">
      <formula1>"Yes, No, Not sure"</formula1>
    </dataValidation>
    <dataValidation type="list" allowBlank="1" showInputMessage="1" showErrorMessage="1" sqref="M163" xr:uid="{64AC847C-1753-4C14-98D2-B520EDB01F64}">
      <formula1>INDIRECT("Dropdown_EmployeeNextSteps")</formula1>
    </dataValidation>
    <dataValidation type="list" allowBlank="1" showInputMessage="1" showErrorMessage="1" sqref="M208" xr:uid="{7DBF2999-D32F-4C1E-9449-40540629AD16}">
      <formula1>INDIRECT("Dropdown_EmployeeAIUse")</formula1>
    </dataValidation>
    <dataValidation type="list" allowBlank="1" showInputMessage="1" showErrorMessage="1" sqref="I29:M29" xr:uid="{CDCF5DD4-8CB9-42D1-BC27-F13D417CAAF4}">
      <formula1>INDIRECT("Dropdown_Sustainability_OfferingServices")</formula1>
    </dataValidation>
    <dataValidation type="list" allowBlank="1" showInputMessage="1" showErrorMessage="1" sqref="K67:M67" xr:uid="{D38D4F0D-BE4B-4E23-801A-E7ED8F4A1674}">
      <formula1>INDIRECT("Dropdown_Sustainability_ROI")</formula1>
    </dataValidation>
    <dataValidation type="list" allowBlank="1" showInputMessage="1" showErrorMessage="1" sqref="J181 G210" xr:uid="{1425AAD4-8C64-4EFA-B4E7-520D8B650A2F}">
      <formula1>INDIRECT("Dropdown_BLPorAITraining")</formula1>
    </dataValidation>
    <dataValidation type="list" allowBlank="1" showInputMessage="1" showErrorMessage="1" sqref="L61:M61" xr:uid="{B78C2E9B-BD3D-4603-8D5B-73BC28C67504}">
      <formula1>INDIRECT("Dropdown_SustainabilityLoan")</formula1>
    </dataValidation>
    <dataValidation type="list" allowBlank="1" showInputMessage="1" showErrorMessage="1" sqref="L69:M69" xr:uid="{B65462BA-8B21-452B-BEDC-C616EC5C045C}">
      <formula1>INDIRECT("Dropdown_2YChangeInESGDemand")</formula1>
    </dataValidation>
    <dataValidation type="list" allowBlank="1" showInputMessage="1" showErrorMessage="1" sqref="K71:M71" xr:uid="{33521C8F-9020-409E-90C9-8ACDC9ABF81C}">
      <formula1>INDIRECT("Dropdown_ResponseEvolvingESG")</formula1>
    </dataValidation>
    <dataValidation type="list" allowBlank="1" showInputMessage="1" showErrorMessage="1" sqref="J216" xr:uid="{14D4B651-A840-4944-B346-98F685B7A35F}">
      <formula1>INDIRECT("Dropdown_AITrainingSpend")</formula1>
    </dataValidation>
    <dataValidation type="list" allowBlank="1" showInputMessage="1" showErrorMessage="1" sqref="H218" xr:uid="{BE574B90-83E1-498D-9AF1-C29D6AE1E0D2}">
      <formula1>INDIRECT("Dropdown_AIAspirations")</formula1>
    </dataValidation>
    <dataValidation type="list" allowBlank="1" showInputMessage="1" showErrorMessage="1" sqref="J169 M169 J176" xr:uid="{759A8B82-E19B-4BF3-9FA2-A66D25C8C3AE}">
      <formula1>INDIRECT("Dropdown_TalentFrequency")</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54C4AD37-2685-4532-9244-2EA4258638DC}">
          <x14:formula1>
            <xm:f>Dropdowns!$AI$20:$AI$23</xm:f>
          </x14:formula1>
          <xm:sqref>H56 H52 H54</xm:sqref>
        </x14:dataValidation>
        <x14:dataValidation type="list" allowBlank="1" showInputMessage="1" showErrorMessage="1" xr:uid="{D87DBF09-9BAE-4D6F-A919-8D5003217281}">
          <x14:formula1>
            <xm:f>Dropdowns!$AM$20:$AM$25</xm:f>
          </x14:formula1>
          <xm:sqref>F85 F87 F83</xm:sqref>
        </x14:dataValidation>
        <x14:dataValidation type="list" allowBlank="1" showInputMessage="1" showErrorMessage="1" xr:uid="{948D52C0-3651-4548-82DF-76C86B1BF9E3}">
          <x14:formula1>
            <xm:f>Dropdowns!$AL$20:$AL$26</xm:f>
          </x14:formula1>
          <xm:sqref>I77</xm:sqref>
        </x14:dataValidation>
        <x14:dataValidation type="list" allowBlank="1" showInputMessage="1" showErrorMessage="1" xr:uid="{4D5C0B9B-130D-4CE6-A66B-40523F997AD1}">
          <x14:formula1>
            <xm:f>Dropdowns!$AG$20:$AG$28</xm:f>
          </x14:formula1>
          <xm:sqref>L161:M161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31D8-2621-4351-B29F-ADC3C8196999}">
  <sheetPr codeName="Sheet9">
    <tabColor theme="6"/>
    <pageSetUpPr fitToPage="1"/>
  </sheetPr>
  <dimension ref="A1:Q236"/>
  <sheetViews>
    <sheetView showGridLines="0" zoomScale="70" zoomScaleNormal="70" zoomScaleSheetLayoutView="90" workbookViewId="0"/>
  </sheetViews>
  <sheetFormatPr defaultColWidth="0" defaultRowHeight="0" customHeight="1" zeroHeight="1" x14ac:dyDescent="0.25"/>
  <cols>
    <col min="1" max="1" width="8.85546875" style="36" customWidth="1"/>
    <col min="2" max="2" width="2.5703125" style="98" customWidth="1"/>
    <col min="3" max="4" width="13.140625" style="36" customWidth="1"/>
    <col min="5" max="5" width="3.140625" style="98" customWidth="1"/>
    <col min="6" max="6" width="193" style="98" customWidth="1"/>
    <col min="7" max="7" width="4.42578125" style="98" customWidth="1"/>
    <col min="8" max="8" width="8.85546875" style="98" customWidth="1"/>
    <col min="9" max="14" width="8.85546875" style="98" hidden="1" customWidth="1"/>
    <col min="15" max="17" width="0" style="98" hidden="1" customWidth="1"/>
    <col min="18" max="16384" width="8.85546875" style="98" hidden="1"/>
  </cols>
  <sheetData>
    <row r="1" spans="2:13" s="36" customFormat="1" ht="15" x14ac:dyDescent="0.25"/>
    <row r="2" spans="2:13" s="36" customFormat="1" ht="7.5" customHeight="1" x14ac:dyDescent="0.35">
      <c r="B2" s="50"/>
      <c r="C2" s="255"/>
      <c r="D2" s="255"/>
      <c r="E2" s="155"/>
      <c r="F2" s="156"/>
      <c r="G2" s="58"/>
    </row>
    <row r="3" spans="2:13" ht="23.45" customHeight="1" x14ac:dyDescent="0.35">
      <c r="B3" s="302"/>
      <c r="C3" s="303" t="s">
        <v>639</v>
      </c>
      <c r="D3" s="304"/>
      <c r="E3" s="36"/>
      <c r="F3" s="36"/>
      <c r="G3" s="302"/>
    </row>
    <row r="4" spans="2:13" ht="7.5" customHeight="1" x14ac:dyDescent="0.25">
      <c r="E4" s="36"/>
      <c r="F4" s="36"/>
      <c r="G4" s="36"/>
    </row>
    <row r="5" spans="2:13" ht="15" customHeight="1" x14ac:dyDescent="0.25">
      <c r="C5" s="305" t="s">
        <v>640</v>
      </c>
      <c r="D5" s="305"/>
      <c r="E5" s="36"/>
      <c r="F5" s="36"/>
      <c r="G5" s="36"/>
    </row>
    <row r="6" spans="2:13" ht="7.5" customHeight="1" x14ac:dyDescent="0.25">
      <c r="E6" s="36"/>
      <c r="F6" s="36"/>
      <c r="G6" s="36"/>
    </row>
    <row r="7" spans="2:13" ht="15" customHeight="1" x14ac:dyDescent="0.25">
      <c r="C7" s="306" t="s">
        <v>1</v>
      </c>
      <c r="D7" s="306"/>
      <c r="E7" s="36"/>
      <c r="F7" s="36"/>
    </row>
    <row r="8" spans="2:13" ht="7.5" customHeight="1" x14ac:dyDescent="0.25">
      <c r="E8" s="36"/>
      <c r="F8" s="36"/>
      <c r="G8" s="36"/>
      <c r="H8" s="36"/>
      <c r="I8" s="36"/>
      <c r="J8" s="36"/>
      <c r="K8" s="36"/>
      <c r="L8" s="36"/>
      <c r="M8" s="36"/>
    </row>
    <row r="9" spans="2:13" ht="105" x14ac:dyDescent="0.25">
      <c r="D9" s="307" t="s">
        <v>645</v>
      </c>
      <c r="F9" s="308" t="s">
        <v>756</v>
      </c>
      <c r="G9" s="36"/>
      <c r="H9" s="36"/>
      <c r="I9" s="36"/>
      <c r="J9" s="36"/>
      <c r="K9" s="36"/>
      <c r="L9" s="36"/>
      <c r="M9" s="36"/>
    </row>
    <row r="10" spans="2:13" ht="30" x14ac:dyDescent="0.25">
      <c r="C10" s="309"/>
      <c r="D10" s="310" t="s">
        <v>641</v>
      </c>
      <c r="E10" s="311"/>
      <c r="F10" s="312" t="s">
        <v>1267</v>
      </c>
      <c r="G10" s="36"/>
      <c r="H10" s="36"/>
      <c r="I10" s="36"/>
      <c r="J10" s="36"/>
      <c r="K10" s="36"/>
      <c r="L10" s="36"/>
      <c r="M10" s="36"/>
    </row>
    <row r="11" spans="2:13" ht="7.5" customHeight="1" x14ac:dyDescent="0.25">
      <c r="F11" s="36"/>
      <c r="G11" s="36"/>
      <c r="H11" s="36"/>
      <c r="I11" s="36"/>
      <c r="J11" s="36"/>
      <c r="K11" s="36"/>
      <c r="L11" s="36"/>
      <c r="M11" s="36"/>
    </row>
    <row r="12" spans="2:13" ht="15" customHeight="1" x14ac:dyDescent="0.25">
      <c r="C12" s="306" t="s">
        <v>915</v>
      </c>
      <c r="F12" s="36"/>
    </row>
    <row r="13" spans="2:13" ht="7.5" customHeight="1" x14ac:dyDescent="0.25">
      <c r="F13" s="36"/>
      <c r="G13" s="36"/>
      <c r="H13" s="36"/>
      <c r="I13" s="36"/>
      <c r="J13" s="36"/>
      <c r="K13" s="36"/>
      <c r="L13" s="36"/>
      <c r="M13" s="36"/>
    </row>
    <row r="14" spans="2:13" ht="15" customHeight="1" x14ac:dyDescent="0.25">
      <c r="D14" s="307" t="s">
        <v>62</v>
      </c>
      <c r="F14" s="308" t="s">
        <v>642</v>
      </c>
      <c r="G14" s="36"/>
      <c r="H14" s="36"/>
      <c r="I14" s="36"/>
      <c r="J14" s="36"/>
      <c r="K14" s="36"/>
      <c r="L14" s="36"/>
      <c r="M14" s="36"/>
    </row>
    <row r="15" spans="2:13" ht="15" customHeight="1" x14ac:dyDescent="0.25">
      <c r="C15" s="309"/>
      <c r="D15" s="310" t="s">
        <v>63</v>
      </c>
      <c r="E15" s="311"/>
      <c r="F15" s="312" t="s">
        <v>761</v>
      </c>
      <c r="G15" s="36"/>
      <c r="H15" s="36"/>
      <c r="I15" s="36"/>
      <c r="J15" s="36"/>
      <c r="K15" s="36"/>
      <c r="L15" s="36"/>
      <c r="M15" s="36"/>
    </row>
    <row r="16" spans="2:13" ht="30" x14ac:dyDescent="0.25">
      <c r="D16" s="307" t="s">
        <v>64</v>
      </c>
      <c r="F16" s="308" t="s">
        <v>646</v>
      </c>
      <c r="G16" s="36"/>
      <c r="H16" s="36"/>
      <c r="I16" s="36"/>
      <c r="J16" s="36"/>
      <c r="K16" s="36"/>
      <c r="L16" s="36"/>
      <c r="M16" s="36"/>
    </row>
    <row r="17" spans="3:13" ht="15" customHeight="1" x14ac:dyDescent="0.25">
      <c r="C17" s="309"/>
      <c r="D17" s="310" t="s">
        <v>643</v>
      </c>
      <c r="E17" s="311"/>
      <c r="F17" s="312" t="s">
        <v>759</v>
      </c>
      <c r="G17" s="36"/>
      <c r="H17" s="36"/>
      <c r="I17" s="36"/>
      <c r="J17" s="36"/>
      <c r="K17" s="36"/>
      <c r="L17" s="36"/>
      <c r="M17" s="36"/>
    </row>
    <row r="18" spans="3:13" ht="15" customHeight="1" x14ac:dyDescent="0.25">
      <c r="D18" s="307" t="s">
        <v>66</v>
      </c>
      <c r="F18" s="308" t="s">
        <v>1268</v>
      </c>
      <c r="G18" s="36"/>
      <c r="H18" s="36"/>
      <c r="I18" s="36"/>
      <c r="J18" s="36"/>
      <c r="K18" s="36"/>
      <c r="L18" s="36"/>
      <c r="M18" s="36"/>
    </row>
    <row r="19" spans="3:13" s="36" customFormat="1" ht="30" x14ac:dyDescent="0.25">
      <c r="C19" s="309"/>
      <c r="D19" s="310" t="s">
        <v>664</v>
      </c>
      <c r="E19" s="309"/>
      <c r="F19" s="312" t="s">
        <v>1413</v>
      </c>
    </row>
    <row r="20" spans="3:13" ht="15" customHeight="1" x14ac:dyDescent="0.25">
      <c r="D20" s="307" t="s">
        <v>1269</v>
      </c>
      <c r="E20" s="36"/>
      <c r="F20" s="308" t="s">
        <v>1270</v>
      </c>
      <c r="G20" s="36"/>
      <c r="H20" s="36"/>
    </row>
    <row r="21" spans="3:13" ht="15" customHeight="1" x14ac:dyDescent="0.25">
      <c r="C21" s="309"/>
      <c r="D21" s="310" t="s">
        <v>659</v>
      </c>
      <c r="E21" s="309"/>
      <c r="F21" s="312" t="s">
        <v>1271</v>
      </c>
      <c r="G21" s="36"/>
      <c r="H21" s="36"/>
    </row>
    <row r="22" spans="3:13" ht="15" customHeight="1" x14ac:dyDescent="0.25">
      <c r="D22" s="307" t="s">
        <v>1003</v>
      </c>
      <c r="E22" s="36"/>
      <c r="F22" s="308" t="s">
        <v>1004</v>
      </c>
      <c r="G22" s="36"/>
      <c r="H22" s="36"/>
      <c r="I22" s="36"/>
      <c r="J22" s="36"/>
      <c r="K22" s="36"/>
      <c r="L22" s="36"/>
      <c r="M22" s="36"/>
    </row>
    <row r="23" spans="3:13" ht="15" customHeight="1" x14ac:dyDescent="0.25">
      <c r="C23" s="309"/>
      <c r="D23" s="310" t="s">
        <v>1005</v>
      </c>
      <c r="E23" s="309"/>
      <c r="F23" s="312" t="s">
        <v>1006</v>
      </c>
      <c r="G23" s="36"/>
      <c r="H23" s="36"/>
      <c r="I23" s="36"/>
      <c r="J23" s="36"/>
      <c r="K23" s="36"/>
      <c r="L23" s="36"/>
      <c r="M23" s="36"/>
    </row>
    <row r="24" spans="3:13" ht="7.5" customHeight="1" x14ac:dyDescent="0.25">
      <c r="D24" s="307"/>
      <c r="F24" s="308"/>
      <c r="G24" s="36"/>
      <c r="H24" s="36"/>
      <c r="I24" s="36"/>
      <c r="J24" s="36"/>
      <c r="K24" s="36"/>
      <c r="L24" s="36"/>
      <c r="M24" s="36"/>
    </row>
    <row r="25" spans="3:13" ht="15" customHeight="1" x14ac:dyDescent="0.25">
      <c r="C25" s="306" t="s">
        <v>916</v>
      </c>
      <c r="D25" s="307"/>
      <c r="F25" s="308"/>
      <c r="G25" s="36"/>
      <c r="H25" s="36"/>
      <c r="I25" s="36"/>
      <c r="J25" s="36"/>
      <c r="K25" s="36"/>
      <c r="L25" s="36"/>
      <c r="M25" s="36"/>
    </row>
    <row r="26" spans="3:13" ht="7.5" customHeight="1" x14ac:dyDescent="0.25">
      <c r="D26" s="307"/>
      <c r="F26" s="308"/>
      <c r="G26" s="36"/>
      <c r="H26" s="36"/>
      <c r="I26" s="36"/>
      <c r="J26" s="36"/>
      <c r="K26" s="36"/>
      <c r="L26" s="36"/>
      <c r="M26" s="36"/>
    </row>
    <row r="27" spans="3:13" ht="15" customHeight="1" x14ac:dyDescent="0.25">
      <c r="D27" s="307" t="s">
        <v>67</v>
      </c>
      <c r="F27" s="308" t="s">
        <v>1272</v>
      </c>
      <c r="G27" s="36"/>
      <c r="H27" s="36"/>
      <c r="I27" s="36"/>
      <c r="J27" s="36"/>
      <c r="K27" s="36"/>
      <c r="L27" s="36"/>
      <c r="M27" s="36"/>
    </row>
    <row r="28" spans="3:13" ht="30" customHeight="1" x14ac:dyDescent="0.25">
      <c r="C28" s="309"/>
      <c r="D28" s="310" t="s">
        <v>68</v>
      </c>
      <c r="E28" s="311"/>
      <c r="F28" s="312" t="s">
        <v>722</v>
      </c>
      <c r="G28" s="36"/>
      <c r="H28" s="36"/>
      <c r="I28" s="36"/>
      <c r="J28" s="36"/>
      <c r="K28" s="36"/>
      <c r="L28" s="36"/>
      <c r="M28" s="36"/>
    </row>
    <row r="29" spans="3:13" ht="15" customHeight="1" x14ac:dyDescent="0.25">
      <c r="D29" s="307" t="s">
        <v>69</v>
      </c>
      <c r="F29" s="308" t="s">
        <v>1007</v>
      </c>
      <c r="G29" s="36"/>
      <c r="H29" s="36"/>
      <c r="I29" s="36"/>
      <c r="J29" s="36"/>
      <c r="K29" s="36"/>
      <c r="L29" s="36"/>
      <c r="M29" s="36"/>
    </row>
    <row r="31" spans="3:13" s="36" customFormat="1" ht="15" customHeight="1" x14ac:dyDescent="0.25">
      <c r="C31" s="309"/>
      <c r="D31" s="310" t="s">
        <v>73</v>
      </c>
      <c r="E31" s="311"/>
      <c r="F31" s="312" t="s">
        <v>647</v>
      </c>
    </row>
    <row r="32" spans="3:13" s="36" customFormat="1" ht="30" customHeight="1" x14ac:dyDescent="0.25">
      <c r="D32" s="307" t="s">
        <v>74</v>
      </c>
      <c r="E32" s="98"/>
      <c r="F32" s="308" t="s">
        <v>740</v>
      </c>
    </row>
    <row r="33" spans="3:13" s="36" customFormat="1" ht="30" customHeight="1" x14ac:dyDescent="0.25">
      <c r="C33" s="309"/>
      <c r="D33" s="310" t="s">
        <v>460</v>
      </c>
      <c r="E33" s="311"/>
      <c r="F33" s="312" t="s">
        <v>838</v>
      </c>
    </row>
    <row r="34" spans="3:13" ht="7.5" customHeight="1" x14ac:dyDescent="0.25">
      <c r="F34" s="36"/>
      <c r="G34" s="36"/>
      <c r="H34" s="36"/>
      <c r="I34" s="36"/>
      <c r="J34" s="36"/>
      <c r="K34" s="36"/>
      <c r="L34" s="36"/>
      <c r="M34" s="36"/>
    </row>
    <row r="35" spans="3:13" ht="15" customHeight="1" x14ac:dyDescent="0.25">
      <c r="C35" s="306" t="s">
        <v>868</v>
      </c>
      <c r="F35" s="36"/>
    </row>
    <row r="36" spans="3:13" ht="7.5" customHeight="1" x14ac:dyDescent="0.25">
      <c r="F36" s="36"/>
      <c r="G36" s="36"/>
      <c r="H36" s="36"/>
      <c r="I36" s="36"/>
      <c r="J36" s="36"/>
      <c r="K36" s="36"/>
      <c r="L36" s="36"/>
      <c r="M36" s="36"/>
    </row>
    <row r="37" spans="3:13" s="36" customFormat="1" ht="30" customHeight="1" x14ac:dyDescent="0.25">
      <c r="D37" s="307" t="s">
        <v>82</v>
      </c>
      <c r="F37" s="308" t="s">
        <v>665</v>
      </c>
    </row>
    <row r="38" spans="3:13" s="36" customFormat="1" ht="15" customHeight="1" x14ac:dyDescent="0.25">
      <c r="C38" s="309"/>
      <c r="D38" s="310" t="s">
        <v>83</v>
      </c>
      <c r="E38" s="309"/>
      <c r="F38" s="312" t="s">
        <v>666</v>
      </c>
    </row>
    <row r="39" spans="3:13" s="36" customFormat="1" ht="15" customHeight="1" x14ac:dyDescent="0.25">
      <c r="D39" s="307" t="s">
        <v>1320</v>
      </c>
      <c r="F39" s="308" t="s">
        <v>1415</v>
      </c>
    </row>
    <row r="40" spans="3:13" s="36" customFormat="1" ht="15" customHeight="1" x14ac:dyDescent="0.25">
      <c r="C40" s="309"/>
      <c r="D40" s="310" t="s">
        <v>1414</v>
      </c>
      <c r="E40" s="309"/>
      <c r="F40" s="312" t="s">
        <v>1416</v>
      </c>
    </row>
    <row r="41" spans="3:13" s="36" customFormat="1" ht="15" customHeight="1" x14ac:dyDescent="0.25">
      <c r="D41" s="307" t="s">
        <v>86</v>
      </c>
      <c r="F41" s="308" t="s">
        <v>667</v>
      </c>
    </row>
    <row r="42" spans="3:13" s="36" customFormat="1" ht="15" customHeight="1" x14ac:dyDescent="0.25">
      <c r="C42" s="309"/>
      <c r="D42" s="310" t="s">
        <v>485</v>
      </c>
      <c r="E42" s="309"/>
      <c r="F42" s="312" t="s">
        <v>669</v>
      </c>
    </row>
    <row r="43" spans="3:13" s="36" customFormat="1" ht="15" customHeight="1" x14ac:dyDescent="0.25">
      <c r="D43" s="307" t="s">
        <v>87</v>
      </c>
      <c r="F43" s="308" t="s">
        <v>668</v>
      </c>
    </row>
    <row r="44" spans="3:13" ht="7.5" customHeight="1" x14ac:dyDescent="0.25">
      <c r="C44" s="306"/>
      <c r="F44" s="36"/>
    </row>
    <row r="45" spans="3:13" ht="15" customHeight="1" x14ac:dyDescent="0.25">
      <c r="C45" s="306" t="s">
        <v>1014</v>
      </c>
      <c r="F45" s="36"/>
    </row>
    <row r="46" spans="3:13" ht="7.5" customHeight="1" x14ac:dyDescent="0.25">
      <c r="C46" s="306"/>
      <c r="F46" s="36"/>
    </row>
    <row r="47" spans="3:13" ht="30" x14ac:dyDescent="0.25">
      <c r="D47" s="307" t="s">
        <v>1008</v>
      </c>
      <c r="E47" s="36"/>
      <c r="F47" s="308" t="s">
        <v>1417</v>
      </c>
    </row>
    <row r="48" spans="3:13" ht="15" customHeight="1" x14ac:dyDescent="0.25">
      <c r="C48" s="309"/>
      <c r="D48" s="310" t="s">
        <v>1009</v>
      </c>
      <c r="E48" s="309"/>
      <c r="F48" s="312" t="s">
        <v>1010</v>
      </c>
    </row>
    <row r="49" spans="2:13" ht="15" customHeight="1" x14ac:dyDescent="0.25">
      <c r="D49" s="307" t="s">
        <v>193</v>
      </c>
      <c r="E49" s="36"/>
      <c r="F49" s="308" t="s">
        <v>1011</v>
      </c>
    </row>
    <row r="50" spans="2:13" s="36" customFormat="1" ht="15" customHeight="1" x14ac:dyDescent="0.25">
      <c r="C50" s="309"/>
      <c r="D50" s="310" t="s">
        <v>462</v>
      </c>
      <c r="E50" s="309"/>
      <c r="F50" s="312" t="s">
        <v>1012</v>
      </c>
    </row>
    <row r="51" spans="2:13" s="36" customFormat="1" ht="15" customHeight="1" x14ac:dyDescent="0.25">
      <c r="D51" s="307" t="s">
        <v>463</v>
      </c>
      <c r="F51" s="308" t="s">
        <v>1013</v>
      </c>
    </row>
    <row r="52" spans="2:13" s="36" customFormat="1" ht="90" customHeight="1" x14ac:dyDescent="0.25">
      <c r="C52" s="491" t="s">
        <v>741</v>
      </c>
      <c r="D52" s="491"/>
      <c r="E52" s="309"/>
      <c r="F52" s="312" t="s">
        <v>1273</v>
      </c>
    </row>
    <row r="53" spans="2:13" ht="7.5" customHeight="1" x14ac:dyDescent="0.25">
      <c r="C53" s="306"/>
      <c r="F53" s="36"/>
    </row>
    <row r="54" spans="2:13" ht="15" hidden="1" customHeight="1" x14ac:dyDescent="0.25">
      <c r="C54" s="306" t="s">
        <v>917</v>
      </c>
      <c r="F54" s="36"/>
    </row>
    <row r="55" spans="2:13" ht="7.5" hidden="1" customHeight="1" x14ac:dyDescent="0.25">
      <c r="C55" s="306"/>
      <c r="F55" s="36"/>
    </row>
    <row r="56" spans="2:13" ht="30" hidden="1" x14ac:dyDescent="0.25">
      <c r="D56" s="307" t="s">
        <v>644</v>
      </c>
      <c r="F56" s="308" t="s">
        <v>760</v>
      </c>
      <c r="G56" s="36"/>
      <c r="H56" s="36"/>
      <c r="I56" s="36"/>
      <c r="J56" s="36"/>
      <c r="K56" s="36"/>
      <c r="L56" s="36"/>
      <c r="M56" s="36"/>
    </row>
    <row r="57" spans="2:13" ht="15" hidden="1" x14ac:dyDescent="0.25">
      <c r="C57" s="310"/>
      <c r="D57" s="310" t="s">
        <v>643</v>
      </c>
      <c r="E57" s="311"/>
      <c r="F57" s="312" t="s">
        <v>759</v>
      </c>
      <c r="G57" s="36"/>
      <c r="H57" s="36"/>
      <c r="I57" s="36"/>
      <c r="J57" s="36"/>
      <c r="K57" s="36"/>
      <c r="L57" s="36"/>
      <c r="M57" s="36"/>
    </row>
    <row r="58" spans="2:13" ht="15" hidden="1" x14ac:dyDescent="0.25">
      <c r="D58" s="307" t="s">
        <v>648</v>
      </c>
      <c r="F58" s="308" t="s">
        <v>1274</v>
      </c>
      <c r="G58" s="36"/>
      <c r="H58" s="36"/>
      <c r="I58" s="36"/>
      <c r="J58" s="36"/>
      <c r="K58" s="36"/>
      <c r="L58" s="36"/>
      <c r="M58" s="36"/>
    </row>
    <row r="59" spans="2:13" ht="15" hidden="1" x14ac:dyDescent="0.25">
      <c r="C59" s="309"/>
      <c r="D59" s="310" t="s">
        <v>650</v>
      </c>
      <c r="E59" s="311"/>
      <c r="F59" s="312" t="s">
        <v>1418</v>
      </c>
      <c r="G59" s="36"/>
      <c r="H59" s="36"/>
      <c r="I59" s="36"/>
      <c r="J59" s="36"/>
      <c r="K59" s="36"/>
      <c r="L59" s="36"/>
      <c r="M59" s="36"/>
    </row>
    <row r="60" spans="2:13" ht="15" hidden="1" x14ac:dyDescent="0.25">
      <c r="D60" s="307" t="s">
        <v>649</v>
      </c>
      <c r="F60" s="308" t="s">
        <v>1419</v>
      </c>
      <c r="G60" s="36"/>
      <c r="H60" s="36"/>
      <c r="I60" s="36"/>
      <c r="J60" s="36"/>
      <c r="K60" s="36"/>
      <c r="L60" s="36"/>
      <c r="M60" s="36"/>
    </row>
    <row r="61" spans="2:13" ht="60" hidden="1" x14ac:dyDescent="0.25">
      <c r="C61" s="309"/>
      <c r="D61" s="310" t="s">
        <v>536</v>
      </c>
      <c r="E61" s="309"/>
      <c r="F61" s="312" t="s">
        <v>1420</v>
      </c>
      <c r="G61" s="36"/>
      <c r="H61" s="36"/>
      <c r="I61" s="36"/>
      <c r="J61" s="36"/>
      <c r="K61" s="36"/>
      <c r="L61" s="36"/>
      <c r="M61" s="36"/>
    </row>
    <row r="62" spans="2:13" s="36" customFormat="1" ht="15" hidden="1" x14ac:dyDescent="0.25">
      <c r="D62" s="307" t="s">
        <v>185</v>
      </c>
      <c r="F62" s="308" t="s">
        <v>1421</v>
      </c>
    </row>
    <row r="63" spans="2:13" ht="15" hidden="1" x14ac:dyDescent="0.25">
      <c r="B63" s="36"/>
      <c r="C63" s="309"/>
      <c r="D63" s="310" t="s">
        <v>651</v>
      </c>
      <c r="E63" s="309"/>
      <c r="F63" s="312" t="s">
        <v>656</v>
      </c>
      <c r="G63" s="36"/>
      <c r="H63" s="36"/>
    </row>
    <row r="64" spans="2:13" ht="15" hidden="1" x14ac:dyDescent="0.25">
      <c r="D64" s="307" t="s">
        <v>652</v>
      </c>
      <c r="E64" s="36"/>
      <c r="F64" s="308" t="s">
        <v>657</v>
      </c>
      <c r="G64" s="36"/>
      <c r="H64" s="36"/>
    </row>
    <row r="65" spans="3:13" s="36" customFormat="1" ht="15" hidden="1" x14ac:dyDescent="0.25">
      <c r="C65" s="309"/>
      <c r="D65" s="310" t="s">
        <v>653</v>
      </c>
      <c r="E65" s="309"/>
      <c r="F65" s="312" t="s">
        <v>658</v>
      </c>
    </row>
    <row r="66" spans="3:13" ht="30" hidden="1" x14ac:dyDescent="0.25">
      <c r="D66" s="307" t="s">
        <v>189</v>
      </c>
      <c r="E66" s="36"/>
      <c r="F66" s="308" t="s">
        <v>1422</v>
      </c>
      <c r="G66" s="36"/>
      <c r="H66" s="36"/>
    </row>
    <row r="67" spans="3:13" s="36" customFormat="1" ht="15" hidden="1" x14ac:dyDescent="0.25">
      <c r="C67" s="309"/>
      <c r="D67" s="310" t="s">
        <v>190</v>
      </c>
      <c r="E67" s="309"/>
      <c r="F67" s="312" t="s">
        <v>655</v>
      </c>
    </row>
    <row r="68" spans="3:13" s="36" customFormat="1" ht="45" hidden="1" x14ac:dyDescent="0.25">
      <c r="D68" s="307" t="s">
        <v>654</v>
      </c>
      <c r="F68" s="308" t="s">
        <v>1433</v>
      </c>
    </row>
    <row r="69" spans="3:13" ht="15" hidden="1" x14ac:dyDescent="0.25">
      <c r="C69" s="309"/>
      <c r="D69" s="310" t="s">
        <v>842</v>
      </c>
      <c r="E69" s="309"/>
      <c r="F69" s="312" t="s">
        <v>1015</v>
      </c>
      <c r="G69" s="36"/>
      <c r="H69" s="36"/>
      <c r="I69" s="36"/>
      <c r="J69" s="36"/>
      <c r="K69" s="36"/>
      <c r="L69" s="36"/>
      <c r="M69" s="36"/>
    </row>
    <row r="70" spans="3:13" ht="15" hidden="1" x14ac:dyDescent="0.25">
      <c r="D70" s="307" t="s">
        <v>1017</v>
      </c>
      <c r="E70" s="36"/>
      <c r="F70" s="308" t="s">
        <v>1016</v>
      </c>
      <c r="G70" s="36"/>
      <c r="H70" s="36"/>
      <c r="I70" s="36"/>
      <c r="J70" s="36"/>
      <c r="K70" s="36"/>
      <c r="L70" s="36"/>
      <c r="M70" s="36"/>
    </row>
    <row r="71" spans="3:13" ht="30" hidden="1" x14ac:dyDescent="0.25">
      <c r="C71" s="309"/>
      <c r="D71" s="310" t="s">
        <v>193</v>
      </c>
      <c r="E71" s="309"/>
      <c r="F71" s="312" t="s">
        <v>1018</v>
      </c>
      <c r="G71" s="36"/>
      <c r="H71" s="36"/>
      <c r="I71" s="36"/>
      <c r="J71" s="36"/>
      <c r="K71" s="36"/>
      <c r="L71" s="36"/>
      <c r="M71" s="36"/>
    </row>
    <row r="72" spans="3:13" ht="15" hidden="1" x14ac:dyDescent="0.25">
      <c r="D72" s="307" t="s">
        <v>1019</v>
      </c>
      <c r="E72" s="36"/>
      <c r="F72" s="308" t="s">
        <v>1275</v>
      </c>
      <c r="G72" s="36"/>
      <c r="H72" s="36"/>
      <c r="I72" s="36"/>
      <c r="J72" s="36"/>
      <c r="K72" s="36"/>
      <c r="L72" s="36"/>
      <c r="M72" s="36"/>
    </row>
    <row r="73" spans="3:13" ht="30" hidden="1" customHeight="1" x14ac:dyDescent="0.25">
      <c r="C73" s="309"/>
      <c r="D73" s="310" t="s">
        <v>757</v>
      </c>
      <c r="E73" s="309"/>
      <c r="F73" s="312" t="s">
        <v>1021</v>
      </c>
      <c r="G73" s="36"/>
      <c r="H73" s="36"/>
      <c r="I73" s="36"/>
      <c r="J73" s="36"/>
      <c r="K73" s="36"/>
      <c r="L73" s="36"/>
      <c r="M73" s="36"/>
    </row>
    <row r="74" spans="3:13" ht="30" hidden="1" x14ac:dyDescent="0.25">
      <c r="D74" s="307" t="s">
        <v>758</v>
      </c>
      <c r="E74" s="36"/>
      <c r="F74" s="308" t="s">
        <v>1020</v>
      </c>
      <c r="G74" s="36"/>
      <c r="H74" s="36"/>
      <c r="I74" s="36"/>
      <c r="J74" s="36"/>
      <c r="K74" s="36"/>
      <c r="L74" s="36"/>
      <c r="M74" s="36"/>
    </row>
    <row r="75" spans="3:13" ht="7.5" hidden="1" customHeight="1" x14ac:dyDescent="0.25">
      <c r="D75" s="307"/>
      <c r="E75" s="36"/>
      <c r="F75" s="308"/>
      <c r="G75" s="36"/>
      <c r="H75" s="36"/>
      <c r="I75" s="36"/>
      <c r="J75" s="36"/>
      <c r="K75" s="36"/>
      <c r="L75" s="36"/>
      <c r="M75" s="36"/>
    </row>
    <row r="76" spans="3:13" ht="15" hidden="1" customHeight="1" x14ac:dyDescent="0.25">
      <c r="C76" s="306" t="s">
        <v>901</v>
      </c>
      <c r="F76" s="36"/>
    </row>
    <row r="77" spans="3:13" ht="7.5" hidden="1" customHeight="1" x14ac:dyDescent="0.25">
      <c r="F77" s="36"/>
      <c r="G77" s="36"/>
      <c r="H77" s="36"/>
      <c r="I77" s="36"/>
      <c r="J77" s="36"/>
      <c r="K77" s="36"/>
      <c r="L77" s="36"/>
      <c r="M77" s="36"/>
    </row>
    <row r="78" spans="3:13" ht="15" hidden="1" customHeight="1" x14ac:dyDescent="0.25">
      <c r="C78" s="313" t="s">
        <v>89</v>
      </c>
      <c r="F78" s="36"/>
      <c r="G78" s="36"/>
      <c r="H78" s="36"/>
      <c r="I78" s="36"/>
      <c r="J78" s="36"/>
      <c r="K78" s="36"/>
      <c r="L78" s="36"/>
      <c r="M78" s="36"/>
    </row>
    <row r="79" spans="3:13" ht="7.5" hidden="1" customHeight="1" x14ac:dyDescent="0.25">
      <c r="F79" s="36"/>
      <c r="G79" s="36"/>
      <c r="H79" s="36"/>
      <c r="I79" s="36"/>
      <c r="J79" s="36"/>
      <c r="K79" s="36"/>
      <c r="L79" s="36"/>
      <c r="M79" s="36"/>
    </row>
    <row r="80" spans="3:13" s="36" customFormat="1" ht="30" hidden="1" x14ac:dyDescent="0.25">
      <c r="D80" s="307" t="s">
        <v>499</v>
      </c>
      <c r="F80" s="308" t="s">
        <v>1276</v>
      </c>
    </row>
    <row r="81" spans="3:13" s="36" customFormat="1" ht="15" hidden="1" x14ac:dyDescent="0.25">
      <c r="C81" s="309"/>
      <c r="D81" s="310" t="s">
        <v>90</v>
      </c>
      <c r="E81" s="309"/>
      <c r="F81" s="312" t="s">
        <v>675</v>
      </c>
    </row>
    <row r="82" spans="3:13" s="36" customFormat="1" ht="15" hidden="1" x14ac:dyDescent="0.25">
      <c r="D82" s="307" t="s">
        <v>91</v>
      </c>
      <c r="F82" s="308" t="s">
        <v>1277</v>
      </c>
    </row>
    <row r="83" spans="3:13" s="36" customFormat="1" ht="15" hidden="1" x14ac:dyDescent="0.25">
      <c r="C83" s="309"/>
      <c r="D83" s="310" t="s">
        <v>92</v>
      </c>
      <c r="E83" s="309"/>
      <c r="F83" s="312" t="s">
        <v>1278</v>
      </c>
    </row>
    <row r="84" spans="3:13" s="36" customFormat="1" ht="15" hidden="1" x14ac:dyDescent="0.25">
      <c r="D84" s="307" t="s">
        <v>93</v>
      </c>
      <c r="F84" s="308" t="s">
        <v>676</v>
      </c>
    </row>
    <row r="85" spans="3:13" s="36" customFormat="1" ht="15" hidden="1" x14ac:dyDescent="0.25">
      <c r="C85" s="309"/>
      <c r="D85" s="310" t="s">
        <v>500</v>
      </c>
      <c r="E85" s="309"/>
      <c r="F85" s="312" t="s">
        <v>674</v>
      </c>
    </row>
    <row r="86" spans="3:13" s="36" customFormat="1" ht="15" hidden="1" x14ac:dyDescent="0.25">
      <c r="D86" s="307" t="s">
        <v>94</v>
      </c>
      <c r="F86" s="308" t="s">
        <v>673</v>
      </c>
    </row>
    <row r="87" spans="3:13" s="36" customFormat="1" ht="15" hidden="1" x14ac:dyDescent="0.25">
      <c r="C87" s="309"/>
      <c r="D87" s="310" t="s">
        <v>501</v>
      </c>
      <c r="E87" s="309"/>
      <c r="F87" s="312" t="s">
        <v>670</v>
      </c>
    </row>
    <row r="88" spans="3:13" s="36" customFormat="1" ht="30" hidden="1" x14ac:dyDescent="0.25">
      <c r="D88" s="307" t="s">
        <v>502</v>
      </c>
      <c r="F88" s="308" t="s">
        <v>840</v>
      </c>
    </row>
    <row r="89" spans="3:13" s="36" customFormat="1" ht="15" hidden="1" x14ac:dyDescent="0.25">
      <c r="C89" s="309"/>
      <c r="D89" s="310" t="s">
        <v>95</v>
      </c>
      <c r="E89" s="309"/>
      <c r="F89" s="312" t="s">
        <v>672</v>
      </c>
    </row>
    <row r="90" spans="3:13" s="36" customFormat="1" ht="15" hidden="1" x14ac:dyDescent="0.25">
      <c r="D90" s="307" t="s">
        <v>503</v>
      </c>
      <c r="F90" s="308" t="s">
        <v>671</v>
      </c>
    </row>
    <row r="91" spans="3:13" ht="7.5" hidden="1" customHeight="1" x14ac:dyDescent="0.25">
      <c r="F91" s="36"/>
      <c r="G91" s="36"/>
      <c r="H91" s="36"/>
      <c r="I91" s="36"/>
      <c r="J91" s="36"/>
      <c r="K91" s="36"/>
      <c r="L91" s="36"/>
      <c r="M91" s="36"/>
    </row>
    <row r="92" spans="3:13" ht="15" hidden="1" customHeight="1" x14ac:dyDescent="0.25">
      <c r="C92" s="313" t="s">
        <v>147</v>
      </c>
      <c r="F92" s="36"/>
      <c r="G92" s="36"/>
      <c r="H92" s="36"/>
      <c r="I92" s="36"/>
      <c r="J92" s="36"/>
      <c r="K92" s="36"/>
      <c r="L92" s="36"/>
      <c r="M92" s="36"/>
    </row>
    <row r="93" spans="3:13" ht="7.5" hidden="1" customHeight="1" x14ac:dyDescent="0.25">
      <c r="F93" s="36"/>
      <c r="G93" s="36"/>
      <c r="H93" s="36"/>
      <c r="I93" s="36"/>
      <c r="J93" s="36"/>
      <c r="K93" s="36"/>
      <c r="L93" s="36"/>
      <c r="M93" s="36"/>
    </row>
    <row r="94" spans="3:13" s="36" customFormat="1" ht="15" hidden="1" x14ac:dyDescent="0.25">
      <c r="D94" s="307" t="s">
        <v>148</v>
      </c>
      <c r="F94" s="308" t="s">
        <v>753</v>
      </c>
    </row>
    <row r="95" spans="3:13" s="36" customFormat="1" ht="15" hidden="1" x14ac:dyDescent="0.25">
      <c r="C95" s="309"/>
      <c r="D95" s="310" t="s">
        <v>149</v>
      </c>
      <c r="E95" s="309"/>
      <c r="F95" s="312" t="s">
        <v>743</v>
      </c>
    </row>
    <row r="96" spans="3:13" s="36" customFormat="1" ht="15" hidden="1" x14ac:dyDescent="0.25">
      <c r="D96" s="307" t="s">
        <v>150</v>
      </c>
      <c r="F96" s="308" t="s">
        <v>744</v>
      </c>
    </row>
    <row r="97" spans="3:13" ht="30" hidden="1" x14ac:dyDescent="0.25">
      <c r="C97" s="309"/>
      <c r="D97" s="310" t="s">
        <v>151</v>
      </c>
      <c r="E97" s="309"/>
      <c r="F97" s="312" t="s">
        <v>752</v>
      </c>
      <c r="G97" s="36"/>
      <c r="H97" s="36"/>
    </row>
    <row r="98" spans="3:13" s="36" customFormat="1" ht="30" hidden="1" x14ac:dyDescent="0.25">
      <c r="D98" s="307" t="s">
        <v>152</v>
      </c>
      <c r="F98" s="308" t="s">
        <v>745</v>
      </c>
    </row>
    <row r="99" spans="3:13" s="36" customFormat="1" ht="15" hidden="1" x14ac:dyDescent="0.25">
      <c r="C99" s="309"/>
      <c r="D99" s="310" t="s">
        <v>153</v>
      </c>
      <c r="E99" s="309"/>
      <c r="F99" s="312" t="s">
        <v>749</v>
      </c>
    </row>
    <row r="100" spans="3:13" s="36" customFormat="1" ht="15" hidden="1" x14ac:dyDescent="0.25">
      <c r="D100" s="307" t="s">
        <v>677</v>
      </c>
      <c r="F100" s="308" t="s">
        <v>746</v>
      </c>
    </row>
    <row r="101" spans="3:13" s="36" customFormat="1" ht="15" hidden="1" x14ac:dyDescent="0.25">
      <c r="C101" s="309"/>
      <c r="D101" s="310" t="s">
        <v>154</v>
      </c>
      <c r="E101" s="309"/>
      <c r="F101" s="312" t="s">
        <v>750</v>
      </c>
    </row>
    <row r="102" spans="3:13" ht="15" hidden="1" x14ac:dyDescent="0.25">
      <c r="D102" s="307" t="s">
        <v>509</v>
      </c>
      <c r="E102" s="36"/>
      <c r="F102" s="308" t="s">
        <v>747</v>
      </c>
      <c r="G102" s="36"/>
      <c r="H102" s="36"/>
    </row>
    <row r="103" spans="3:13" s="36" customFormat="1" ht="15" hidden="1" x14ac:dyDescent="0.25">
      <c r="C103" s="309"/>
      <c r="D103" s="310" t="s">
        <v>510</v>
      </c>
      <c r="E103" s="309"/>
      <c r="F103" s="312" t="s">
        <v>751</v>
      </c>
    </row>
    <row r="104" spans="3:13" s="36" customFormat="1" ht="15" hidden="1" x14ac:dyDescent="0.25">
      <c r="D104" s="307" t="s">
        <v>511</v>
      </c>
      <c r="F104" s="308" t="s">
        <v>748</v>
      </c>
    </row>
    <row r="105" spans="3:13" ht="7.5" hidden="1" customHeight="1" x14ac:dyDescent="0.25">
      <c r="F105" s="36"/>
      <c r="G105" s="36"/>
      <c r="H105" s="36"/>
      <c r="I105" s="36"/>
      <c r="J105" s="36"/>
      <c r="K105" s="36"/>
      <c r="L105" s="36"/>
      <c r="M105" s="36"/>
    </row>
    <row r="106" spans="3:13" ht="15" hidden="1" customHeight="1" x14ac:dyDescent="0.25">
      <c r="C106" s="313" t="s">
        <v>175</v>
      </c>
      <c r="F106" s="36"/>
      <c r="G106" s="36"/>
      <c r="H106" s="36"/>
      <c r="I106" s="36"/>
      <c r="J106" s="36"/>
      <c r="K106" s="36"/>
      <c r="L106" s="36"/>
      <c r="M106" s="36"/>
    </row>
    <row r="107" spans="3:13" ht="7.5" hidden="1" customHeight="1" x14ac:dyDescent="0.25">
      <c r="F107" s="36"/>
      <c r="G107" s="36"/>
      <c r="H107" s="36"/>
      <c r="I107" s="36"/>
      <c r="J107" s="36"/>
      <c r="K107" s="36"/>
      <c r="L107" s="36"/>
      <c r="M107" s="36"/>
    </row>
    <row r="108" spans="3:13" s="36" customFormat="1" ht="30" hidden="1" x14ac:dyDescent="0.25">
      <c r="D108" s="307" t="s">
        <v>176</v>
      </c>
      <c r="F108" s="308" t="s">
        <v>1279</v>
      </c>
    </row>
    <row r="109" spans="3:13" s="36" customFormat="1" ht="30" hidden="1" x14ac:dyDescent="0.25">
      <c r="C109" s="309"/>
      <c r="D109" s="310" t="s">
        <v>177</v>
      </c>
      <c r="E109" s="309"/>
      <c r="F109" s="312" t="s">
        <v>678</v>
      </c>
    </row>
    <row r="110" spans="3:13" s="36" customFormat="1" ht="15" hidden="1" x14ac:dyDescent="0.25">
      <c r="D110" s="307" t="s">
        <v>178</v>
      </c>
      <c r="F110" s="308" t="s">
        <v>679</v>
      </c>
    </row>
    <row r="111" spans="3:13" s="36" customFormat="1" ht="30" hidden="1" x14ac:dyDescent="0.25">
      <c r="C111" s="309"/>
      <c r="D111" s="310" t="s">
        <v>179</v>
      </c>
      <c r="E111" s="309"/>
      <c r="F111" s="312" t="s">
        <v>1280</v>
      </c>
    </row>
    <row r="112" spans="3:13" s="36" customFormat="1" ht="7.5" hidden="1" customHeight="1" x14ac:dyDescent="0.25">
      <c r="D112" s="307"/>
      <c r="F112" s="308"/>
    </row>
    <row r="113" spans="3:13" s="36" customFormat="1" ht="30" hidden="1" customHeight="1" x14ac:dyDescent="0.25">
      <c r="C113" s="306" t="s">
        <v>909</v>
      </c>
      <c r="D113" s="307"/>
      <c r="F113" s="308"/>
    </row>
    <row r="114" spans="3:13" s="36" customFormat="1" ht="7.5" hidden="1" customHeight="1" x14ac:dyDescent="0.25">
      <c r="D114" s="307"/>
      <c r="F114" s="308"/>
    </row>
    <row r="115" spans="3:13" s="36" customFormat="1" ht="15" hidden="1" customHeight="1" x14ac:dyDescent="0.25">
      <c r="D115" s="307" t="s">
        <v>1022</v>
      </c>
      <c r="F115" s="308" t="s">
        <v>1023</v>
      </c>
    </row>
    <row r="116" spans="3:13" ht="30" hidden="1" customHeight="1" x14ac:dyDescent="0.25">
      <c r="C116" s="309"/>
      <c r="D116" s="310" t="s">
        <v>76</v>
      </c>
      <c r="E116" s="309"/>
      <c r="F116" s="312" t="s">
        <v>839</v>
      </c>
      <c r="G116" s="36"/>
      <c r="H116" s="36"/>
    </row>
    <row r="117" spans="3:13" ht="45" hidden="1" x14ac:dyDescent="0.25">
      <c r="C117" s="492" t="s">
        <v>663</v>
      </c>
      <c r="D117" s="492"/>
      <c r="E117" s="36"/>
      <c r="F117" s="308" t="s">
        <v>1281</v>
      </c>
      <c r="G117" s="36"/>
      <c r="H117" s="36"/>
    </row>
    <row r="118" spans="3:13" ht="30" hidden="1" customHeight="1" x14ac:dyDescent="0.25">
      <c r="C118" s="309"/>
      <c r="D118" s="310" t="s">
        <v>660</v>
      </c>
      <c r="E118" s="309"/>
      <c r="F118" s="312" t="s">
        <v>1024</v>
      </c>
      <c r="G118" s="36"/>
      <c r="H118" s="36"/>
    </row>
    <row r="119" spans="3:13" ht="30" hidden="1" customHeight="1" x14ac:dyDescent="0.25">
      <c r="D119" s="307" t="s">
        <v>661</v>
      </c>
      <c r="E119" s="36"/>
      <c r="F119" s="308" t="s">
        <v>1025</v>
      </c>
      <c r="G119" s="36"/>
      <c r="H119" s="36"/>
    </row>
    <row r="120" spans="3:13" s="36" customFormat="1" ht="7.5" hidden="1" customHeight="1" x14ac:dyDescent="0.25">
      <c r="D120" s="307"/>
      <c r="F120" s="308"/>
    </row>
    <row r="121" spans="3:13" s="36" customFormat="1" ht="30" hidden="1" customHeight="1" x14ac:dyDescent="0.25">
      <c r="C121" s="306" t="s">
        <v>1295</v>
      </c>
      <c r="D121" s="307"/>
      <c r="F121" s="308"/>
    </row>
    <row r="122" spans="3:13" s="36" customFormat="1" ht="7.5" hidden="1" customHeight="1" x14ac:dyDescent="0.25">
      <c r="D122" s="307"/>
      <c r="F122" s="308"/>
    </row>
    <row r="123" spans="3:13" ht="30" hidden="1" x14ac:dyDescent="0.25">
      <c r="D123" s="307" t="s">
        <v>77</v>
      </c>
      <c r="E123" s="36"/>
      <c r="F123" s="308" t="s">
        <v>742</v>
      </c>
      <c r="G123" s="36"/>
      <c r="H123" s="36"/>
    </row>
    <row r="124" spans="3:13" ht="165" hidden="1" x14ac:dyDescent="0.25">
      <c r="C124" s="309"/>
      <c r="D124" s="310" t="s">
        <v>662</v>
      </c>
      <c r="E124" s="309"/>
      <c r="F124" s="312" t="s">
        <v>1282</v>
      </c>
      <c r="G124" s="36"/>
      <c r="H124" s="36"/>
    </row>
    <row r="125" spans="3:13" s="36" customFormat="1" ht="7.5" hidden="1" customHeight="1" x14ac:dyDescent="0.25"/>
    <row r="126" spans="3:13" ht="15" hidden="1" customHeight="1" x14ac:dyDescent="0.25">
      <c r="C126" s="306" t="s">
        <v>1291</v>
      </c>
      <c r="F126" s="36"/>
    </row>
    <row r="127" spans="3:13" ht="7.5" hidden="1" customHeight="1" x14ac:dyDescent="0.25">
      <c r="F127" s="36"/>
      <c r="G127" s="36"/>
      <c r="H127" s="36"/>
      <c r="I127" s="36"/>
      <c r="J127" s="36"/>
      <c r="K127" s="36"/>
      <c r="L127" s="36"/>
      <c r="M127" s="36"/>
    </row>
    <row r="128" spans="3:13" s="36" customFormat="1" ht="15" hidden="1" customHeight="1" x14ac:dyDescent="0.25">
      <c r="D128" s="307" t="s">
        <v>775</v>
      </c>
      <c r="F128" s="308" t="s">
        <v>1423</v>
      </c>
    </row>
    <row r="129" spans="3:13" s="36" customFormat="1" ht="15" hidden="1" customHeight="1" x14ac:dyDescent="0.25">
      <c r="C129" s="309"/>
      <c r="D129" s="310" t="s">
        <v>776</v>
      </c>
      <c r="E129" s="309"/>
      <c r="F129" s="312" t="s">
        <v>1424</v>
      </c>
    </row>
    <row r="130" spans="3:13" s="36" customFormat="1" ht="15" hidden="1" customHeight="1" x14ac:dyDescent="0.25">
      <c r="D130" s="307" t="s">
        <v>841</v>
      </c>
      <c r="F130" s="308" t="s">
        <v>723</v>
      </c>
    </row>
    <row r="131" spans="3:13" s="36" customFormat="1" ht="15" hidden="1" customHeight="1" x14ac:dyDescent="0.25">
      <c r="C131" s="309"/>
      <c r="D131" s="310" t="s">
        <v>680</v>
      </c>
      <c r="E131" s="309"/>
      <c r="F131" s="312" t="s">
        <v>681</v>
      </c>
    </row>
    <row r="132" spans="3:13" s="36" customFormat="1" ht="15" hidden="1" customHeight="1" x14ac:dyDescent="0.25">
      <c r="D132" s="307" t="s">
        <v>184</v>
      </c>
      <c r="F132" s="308" t="s">
        <v>739</v>
      </c>
    </row>
    <row r="133" spans="3:13" s="36" customFormat="1" ht="7.5" hidden="1" customHeight="1" x14ac:dyDescent="0.25"/>
    <row r="134" spans="3:13" ht="15" hidden="1" customHeight="1" x14ac:dyDescent="0.25">
      <c r="C134" s="306" t="s">
        <v>1100</v>
      </c>
      <c r="F134" s="36"/>
    </row>
    <row r="135" spans="3:13" ht="7.5" hidden="1" customHeight="1" x14ac:dyDescent="0.25">
      <c r="F135" s="36"/>
      <c r="G135" s="36"/>
      <c r="H135" s="36"/>
      <c r="I135" s="36"/>
      <c r="J135" s="36"/>
      <c r="K135" s="36"/>
      <c r="L135" s="36"/>
      <c r="M135" s="36"/>
    </row>
    <row r="136" spans="3:13" s="36" customFormat="1" ht="30" hidden="1" x14ac:dyDescent="0.25">
      <c r="C136" s="309"/>
      <c r="D136" s="310" t="s">
        <v>1043</v>
      </c>
      <c r="E136" s="309"/>
      <c r="F136" s="312" t="s">
        <v>1425</v>
      </c>
    </row>
    <row r="137" spans="3:13" s="36" customFormat="1" ht="39" hidden="1" customHeight="1" x14ac:dyDescent="0.25">
      <c r="D137" s="307" t="s">
        <v>1099</v>
      </c>
      <c r="F137" s="308" t="s">
        <v>1426</v>
      </c>
    </row>
    <row r="138" spans="3:13" s="36" customFormat="1" ht="15" customHeight="1" x14ac:dyDescent="0.25"/>
    <row r="139" spans="3:13" s="36" customFormat="1" ht="14.45" hidden="1" customHeight="1" x14ac:dyDescent="0.25"/>
    <row r="140" spans="3:13" s="36" customFormat="1" ht="14.45" hidden="1" customHeight="1" x14ac:dyDescent="0.25"/>
    <row r="141" spans="3:13" s="36" customFormat="1" ht="14.45" hidden="1" customHeight="1" x14ac:dyDescent="0.25"/>
    <row r="142" spans="3:13" s="36" customFormat="1" ht="14.45" hidden="1" customHeight="1" x14ac:dyDescent="0.25"/>
    <row r="143" spans="3:13" s="36" customFormat="1" ht="14.45" hidden="1" customHeight="1" x14ac:dyDescent="0.25"/>
    <row r="144" spans="3:13" s="36" customFormat="1" ht="14.45" hidden="1" customHeight="1" x14ac:dyDescent="0.25"/>
    <row r="145" s="36" customFormat="1" ht="14.45" hidden="1" customHeight="1" x14ac:dyDescent="0.25"/>
    <row r="146" s="36" customFormat="1" ht="14.45" hidden="1" customHeight="1" x14ac:dyDescent="0.25"/>
    <row r="147" s="36" customFormat="1" ht="14.45" hidden="1" customHeight="1" x14ac:dyDescent="0.25"/>
    <row r="148" s="36" customFormat="1" ht="14.45" hidden="1" customHeight="1" x14ac:dyDescent="0.25"/>
    <row r="149" s="36" customFormat="1" ht="14.45" hidden="1" customHeight="1" x14ac:dyDescent="0.25"/>
    <row r="150" s="36" customFormat="1" ht="14.45" hidden="1" customHeight="1" x14ac:dyDescent="0.25"/>
    <row r="151" s="36" customFormat="1" ht="14.45" hidden="1" customHeight="1" x14ac:dyDescent="0.25"/>
    <row r="152" s="36" customFormat="1" ht="14.45" hidden="1" customHeight="1" x14ac:dyDescent="0.25"/>
    <row r="153" s="36" customFormat="1" ht="14.45" hidden="1" customHeight="1" x14ac:dyDescent="0.25"/>
    <row r="154" s="36" customFormat="1" ht="14.45" hidden="1" customHeight="1" x14ac:dyDescent="0.25"/>
    <row r="155" s="36" customFormat="1" ht="14.45" hidden="1" customHeight="1" x14ac:dyDescent="0.25"/>
    <row r="156" s="36" customFormat="1" ht="14.45" hidden="1" customHeight="1" x14ac:dyDescent="0.25"/>
    <row r="157" s="36" customFormat="1" ht="14.45" hidden="1" customHeight="1" x14ac:dyDescent="0.25"/>
    <row r="158" s="36" customFormat="1" ht="14.45" hidden="1" customHeight="1" x14ac:dyDescent="0.25"/>
    <row r="159" s="36" customFormat="1" ht="14.45" hidden="1" customHeight="1" x14ac:dyDescent="0.25"/>
    <row r="160" s="36" customFormat="1" ht="14.45" hidden="1" customHeight="1" x14ac:dyDescent="0.25"/>
    <row r="161" s="36" customFormat="1" ht="14.45" hidden="1" customHeight="1" x14ac:dyDescent="0.25"/>
    <row r="162" s="36" customFormat="1" ht="14.45" hidden="1" customHeight="1" x14ac:dyDescent="0.25"/>
    <row r="163" s="36" customFormat="1" ht="14.45" hidden="1" customHeight="1" x14ac:dyDescent="0.25"/>
    <row r="164" s="36" customFormat="1" ht="14.45" hidden="1" customHeight="1" x14ac:dyDescent="0.25"/>
    <row r="165" s="36" customFormat="1" ht="14.45" hidden="1" customHeight="1" x14ac:dyDescent="0.25"/>
    <row r="166" s="36" customFormat="1" ht="14.45" hidden="1" customHeight="1" x14ac:dyDescent="0.25"/>
    <row r="167" s="36" customFormat="1" ht="14.45" hidden="1" customHeight="1" x14ac:dyDescent="0.25"/>
    <row r="168" s="36" customFormat="1" ht="14.45" hidden="1" customHeight="1" x14ac:dyDescent="0.25"/>
    <row r="169" s="36" customFormat="1" ht="14.45" hidden="1" customHeight="1" x14ac:dyDescent="0.25"/>
    <row r="170" s="36" customFormat="1" ht="14.45" hidden="1" customHeight="1" x14ac:dyDescent="0.25"/>
    <row r="171" s="36" customFormat="1" ht="14.45" hidden="1" customHeight="1" x14ac:dyDescent="0.25"/>
    <row r="172" s="36" customFormat="1" ht="14.45" hidden="1" customHeight="1" x14ac:dyDescent="0.25"/>
    <row r="173" s="36" customFormat="1" ht="14.45" hidden="1" customHeight="1" x14ac:dyDescent="0.25"/>
    <row r="174" s="36" customFormat="1" ht="14.45" hidden="1" customHeight="1" x14ac:dyDescent="0.25"/>
    <row r="175" s="36" customFormat="1" ht="14.45" hidden="1" customHeight="1" x14ac:dyDescent="0.25"/>
    <row r="176" s="36" customFormat="1" ht="14.45" hidden="1" customHeight="1" x14ac:dyDescent="0.25"/>
    <row r="177" s="36" customFormat="1" ht="14.45" hidden="1" customHeight="1" x14ac:dyDescent="0.25"/>
    <row r="178" s="36" customFormat="1" ht="14.45" hidden="1" customHeight="1" x14ac:dyDescent="0.25"/>
    <row r="179" s="36" customFormat="1" ht="14.45" hidden="1" customHeight="1" x14ac:dyDescent="0.25"/>
    <row r="180" s="36" customFormat="1" ht="14.45" hidden="1" customHeight="1" x14ac:dyDescent="0.25"/>
    <row r="181" s="36" customFormat="1" ht="14.45" hidden="1" customHeight="1" x14ac:dyDescent="0.25"/>
    <row r="182" s="36" customFormat="1" ht="14.45" hidden="1" customHeight="1" x14ac:dyDescent="0.25"/>
    <row r="183" s="36" customFormat="1" ht="14.45" hidden="1" customHeight="1" x14ac:dyDescent="0.25"/>
    <row r="184" s="36" customFormat="1" ht="14.45" hidden="1" customHeight="1" x14ac:dyDescent="0.25"/>
    <row r="185" s="36" customFormat="1" ht="14.45" hidden="1" customHeight="1" x14ac:dyDescent="0.25"/>
    <row r="186" s="36" customFormat="1" ht="14.45" hidden="1" customHeight="1" x14ac:dyDescent="0.25"/>
    <row r="187" s="36" customFormat="1" ht="14.45" hidden="1" customHeight="1" x14ac:dyDescent="0.25"/>
    <row r="188" s="36" customFormat="1" ht="14.45" hidden="1" customHeight="1" x14ac:dyDescent="0.25"/>
    <row r="189" s="36" customFormat="1" ht="14.45" hidden="1" customHeight="1" x14ac:dyDescent="0.25"/>
    <row r="190" s="36" customFormat="1" ht="14.45" hidden="1" customHeight="1" x14ac:dyDescent="0.25"/>
    <row r="191" s="36" customFormat="1" ht="14.45" hidden="1" customHeight="1" x14ac:dyDescent="0.25"/>
    <row r="192" s="36" customFormat="1" ht="14.45" hidden="1" customHeight="1" x14ac:dyDescent="0.25"/>
    <row r="193" s="36" customFormat="1" ht="14.45" hidden="1" customHeight="1" x14ac:dyDescent="0.25"/>
    <row r="194" s="36" customFormat="1" ht="14.45" hidden="1" customHeight="1" x14ac:dyDescent="0.25"/>
    <row r="195" s="36" customFormat="1" ht="14.45" hidden="1" customHeight="1" x14ac:dyDescent="0.25"/>
    <row r="196" s="36" customFormat="1" ht="14.45" hidden="1" customHeight="1" x14ac:dyDescent="0.25"/>
    <row r="197" s="36" customFormat="1" ht="14.45" hidden="1" customHeight="1" x14ac:dyDescent="0.25"/>
    <row r="198" s="36" customFormat="1" ht="14.45" hidden="1" customHeight="1" x14ac:dyDescent="0.25"/>
    <row r="199" s="36" customFormat="1" ht="14.45" hidden="1" customHeight="1" x14ac:dyDescent="0.25"/>
    <row r="200" s="36" customFormat="1" ht="14.45" hidden="1" customHeight="1" x14ac:dyDescent="0.25"/>
    <row r="201" s="36" customFormat="1" ht="14.45" hidden="1" customHeight="1" x14ac:dyDescent="0.25"/>
    <row r="202" s="36" customFormat="1" ht="14.45" hidden="1" customHeight="1" x14ac:dyDescent="0.25"/>
    <row r="203" s="36" customFormat="1" ht="14.45" hidden="1" customHeight="1" x14ac:dyDescent="0.25"/>
    <row r="204" s="36" customFormat="1" ht="14.45" hidden="1" customHeight="1" x14ac:dyDescent="0.25"/>
    <row r="205" s="36" customFormat="1" ht="14.45" hidden="1" customHeight="1" x14ac:dyDescent="0.25"/>
    <row r="206" s="36" customFormat="1" ht="14.45" hidden="1" customHeight="1" x14ac:dyDescent="0.25"/>
    <row r="207" s="36" customFormat="1" ht="14.45" hidden="1" customHeight="1" x14ac:dyDescent="0.25"/>
    <row r="208" s="36" customFormat="1" ht="14.45" hidden="1" customHeight="1" x14ac:dyDescent="0.25"/>
    <row r="209" spans="2:14" s="36" customFormat="1" ht="14.45" hidden="1" customHeight="1" x14ac:dyDescent="0.25"/>
    <row r="210" spans="2:14" s="36" customFormat="1" ht="14.45" hidden="1" customHeight="1" x14ac:dyDescent="0.25"/>
    <row r="211" spans="2:14" s="36" customFormat="1" ht="14.45" hidden="1" customHeight="1" x14ac:dyDescent="0.25"/>
    <row r="212" spans="2:14" s="36" customFormat="1" ht="14.45" hidden="1" customHeight="1" x14ac:dyDescent="0.25"/>
    <row r="213" spans="2:14" s="36" customFormat="1" ht="14.45" hidden="1" customHeight="1" x14ac:dyDescent="0.25"/>
    <row r="214" spans="2:14" s="36" customFormat="1" ht="14.45" hidden="1" customHeight="1" x14ac:dyDescent="0.25"/>
    <row r="215" spans="2:14" s="36" customFormat="1" ht="14.45" hidden="1" customHeight="1" x14ac:dyDescent="0.25"/>
    <row r="216" spans="2:14" s="36" customFormat="1" ht="14.45" hidden="1" customHeight="1" x14ac:dyDescent="0.25"/>
    <row r="217" spans="2:14" s="36" customFormat="1" ht="14.45" hidden="1" customHeight="1" x14ac:dyDescent="0.25"/>
    <row r="218" spans="2:14" s="36" customFormat="1" ht="14.45" hidden="1" customHeight="1" x14ac:dyDescent="0.25"/>
    <row r="219" spans="2:14" s="36" customFormat="1" ht="14.45" hidden="1" customHeight="1" x14ac:dyDescent="0.25"/>
    <row r="220" spans="2:14" s="36" customFormat="1" ht="14.45" hidden="1" customHeight="1" x14ac:dyDescent="0.25"/>
    <row r="221" spans="2:14" s="36" customFormat="1" ht="14.45" hidden="1" customHeight="1" x14ac:dyDescent="0.25"/>
    <row r="222" spans="2:14" s="36" customFormat="1" ht="14.45" hidden="1" customHeight="1" x14ac:dyDescent="0.25"/>
    <row r="223" spans="2:14" s="36" customFormat="1" ht="0" hidden="1" customHeight="1" x14ac:dyDescent="0.25">
      <c r="B223" s="98"/>
      <c r="E223" s="98"/>
      <c r="F223" s="98"/>
      <c r="G223" s="98"/>
      <c r="H223" s="98"/>
      <c r="I223" s="98"/>
      <c r="J223" s="98"/>
      <c r="K223" s="98"/>
      <c r="L223" s="98"/>
      <c r="M223" s="98"/>
      <c r="N223" s="98"/>
    </row>
    <row r="224" spans="2:14" s="36" customFormat="1" ht="0" hidden="1" customHeight="1" x14ac:dyDescent="0.25">
      <c r="B224" s="98"/>
      <c r="E224" s="98"/>
      <c r="F224" s="98"/>
      <c r="G224" s="98"/>
      <c r="H224" s="98"/>
      <c r="I224" s="98"/>
      <c r="J224" s="98"/>
      <c r="K224" s="98"/>
      <c r="L224" s="98"/>
      <c r="M224" s="98"/>
      <c r="N224" s="98"/>
    </row>
    <row r="225" spans="2:14" s="36" customFormat="1" ht="0" hidden="1" customHeight="1" x14ac:dyDescent="0.25">
      <c r="B225" s="98"/>
      <c r="E225" s="98"/>
      <c r="F225" s="98"/>
      <c r="G225" s="98"/>
      <c r="H225" s="98"/>
      <c r="I225" s="98"/>
      <c r="J225" s="98"/>
      <c r="K225" s="98"/>
      <c r="L225" s="98"/>
      <c r="M225" s="98"/>
      <c r="N225" s="98"/>
    </row>
    <row r="226" spans="2:14" s="36" customFormat="1" ht="0" hidden="1" customHeight="1" x14ac:dyDescent="0.25">
      <c r="B226" s="98"/>
      <c r="E226" s="98"/>
      <c r="F226" s="98"/>
      <c r="G226" s="98"/>
      <c r="H226" s="98"/>
      <c r="I226" s="98"/>
      <c r="J226" s="98"/>
      <c r="K226" s="98"/>
      <c r="L226" s="98"/>
      <c r="M226" s="98"/>
      <c r="N226" s="98"/>
    </row>
    <row r="227" spans="2:14" s="36" customFormat="1" ht="0" hidden="1" customHeight="1" x14ac:dyDescent="0.25">
      <c r="B227" s="98"/>
      <c r="E227" s="98"/>
      <c r="F227" s="98"/>
      <c r="G227" s="98"/>
      <c r="H227" s="98"/>
      <c r="I227" s="98"/>
      <c r="J227" s="98"/>
      <c r="K227" s="98"/>
      <c r="L227" s="98"/>
      <c r="M227" s="98"/>
      <c r="N227" s="98"/>
    </row>
    <row r="228" spans="2:14" s="36" customFormat="1" ht="0" hidden="1" customHeight="1" x14ac:dyDescent="0.25">
      <c r="B228" s="98"/>
      <c r="E228" s="98"/>
      <c r="F228" s="98"/>
      <c r="G228" s="98"/>
      <c r="H228" s="98"/>
      <c r="I228" s="98"/>
      <c r="J228" s="98"/>
      <c r="K228" s="98"/>
      <c r="L228" s="98"/>
      <c r="M228" s="98"/>
      <c r="N228" s="98"/>
    </row>
    <row r="229" spans="2:14" s="36" customFormat="1" ht="0" hidden="1" customHeight="1" x14ac:dyDescent="0.25">
      <c r="B229" s="98"/>
      <c r="E229" s="98"/>
      <c r="F229" s="98"/>
      <c r="G229" s="98"/>
      <c r="H229" s="98"/>
      <c r="I229" s="98"/>
      <c r="J229" s="98"/>
      <c r="K229" s="98"/>
      <c r="L229" s="98"/>
      <c r="M229" s="98"/>
      <c r="N229" s="98"/>
    </row>
    <row r="230" spans="2:14" s="36" customFormat="1" ht="0" hidden="1" customHeight="1" x14ac:dyDescent="0.25">
      <c r="B230" s="98"/>
      <c r="E230" s="98"/>
      <c r="F230" s="98"/>
      <c r="G230" s="98"/>
      <c r="H230" s="98"/>
      <c r="I230" s="98"/>
      <c r="J230" s="98"/>
      <c r="K230" s="98"/>
      <c r="L230" s="98"/>
      <c r="M230" s="98"/>
      <c r="N230" s="98"/>
    </row>
    <row r="231" spans="2:14" s="36" customFormat="1" ht="0" hidden="1" customHeight="1" x14ac:dyDescent="0.25">
      <c r="B231" s="98"/>
      <c r="E231" s="98"/>
      <c r="F231" s="98"/>
      <c r="G231" s="98"/>
      <c r="H231" s="98"/>
      <c r="I231" s="98"/>
      <c r="J231" s="98"/>
      <c r="K231" s="98"/>
      <c r="L231" s="98"/>
      <c r="M231" s="98"/>
      <c r="N231" s="98"/>
    </row>
    <row r="232" spans="2:14" s="36" customFormat="1" ht="0" hidden="1" customHeight="1" x14ac:dyDescent="0.25">
      <c r="B232" s="98"/>
      <c r="E232" s="98"/>
      <c r="F232" s="98"/>
      <c r="G232" s="98"/>
      <c r="H232" s="98"/>
      <c r="I232" s="98"/>
      <c r="J232" s="98"/>
      <c r="K232" s="98"/>
      <c r="L232" s="98"/>
      <c r="M232" s="98"/>
      <c r="N232" s="98"/>
    </row>
    <row r="233" spans="2:14" s="36" customFormat="1" ht="0" hidden="1" customHeight="1" x14ac:dyDescent="0.25">
      <c r="B233" s="98"/>
      <c r="E233" s="98"/>
      <c r="F233" s="98"/>
      <c r="G233" s="98"/>
      <c r="H233" s="98"/>
      <c r="I233" s="98"/>
      <c r="J233" s="98"/>
      <c r="K233" s="98"/>
      <c r="L233" s="98"/>
      <c r="M233" s="98"/>
      <c r="N233" s="98"/>
    </row>
    <row r="234" spans="2:14" s="36" customFormat="1" ht="0" hidden="1" customHeight="1" x14ac:dyDescent="0.25">
      <c r="B234" s="98"/>
      <c r="E234" s="98"/>
      <c r="F234" s="98"/>
      <c r="G234" s="98"/>
      <c r="H234" s="98"/>
      <c r="I234" s="98"/>
      <c r="J234" s="98"/>
      <c r="K234" s="98"/>
      <c r="L234" s="98"/>
      <c r="M234" s="98"/>
      <c r="N234" s="98"/>
    </row>
    <row r="235" spans="2:14" s="36" customFormat="1" ht="0" hidden="1" customHeight="1" x14ac:dyDescent="0.25">
      <c r="B235" s="98"/>
      <c r="E235" s="98"/>
      <c r="F235" s="98"/>
      <c r="G235" s="98"/>
      <c r="H235" s="98"/>
      <c r="I235" s="98"/>
      <c r="J235" s="98"/>
      <c r="K235" s="98"/>
      <c r="L235" s="98"/>
      <c r="M235" s="98"/>
      <c r="N235" s="98"/>
    </row>
    <row r="236" spans="2:14" s="36" customFormat="1" ht="0" hidden="1" customHeight="1" x14ac:dyDescent="0.25">
      <c r="B236" s="98"/>
      <c r="E236" s="98"/>
      <c r="F236" s="98"/>
      <c r="G236" s="98"/>
      <c r="H236" s="98"/>
      <c r="I236" s="98"/>
      <c r="J236" s="98"/>
      <c r="K236" s="98"/>
      <c r="L236" s="98"/>
      <c r="M236" s="98"/>
      <c r="N236" s="98"/>
    </row>
  </sheetData>
  <sheetProtection algorithmName="SHA-512" hashValue="OvruxsoX21j3bmI+I56Xz9FQoFy5ZRw6Avk9j+BdVbFKTtNeBpIBBvazptbHCbZW6BmPE5Ins7TcIWJnf6XgLQ==" saltValue="KanVvGSPTU1ISVytyemsPg==" spinCount="100000" sheet="1" objects="1" scenarios="1"/>
  <mergeCells count="2">
    <mergeCell ref="C52:D52"/>
    <mergeCell ref="C117:D117"/>
  </mergeCells>
  <pageMargins left="0.7" right="0.7" top="0.75" bottom="0.75" header="0.3" footer="0.3"/>
  <pageSetup scale="71" fitToHeight="0" orientation="portrait" r:id="rId1"/>
  <headerFooter>
    <oddHeader>&amp;C&amp;12 2025 ACEC &amp; EFCG A/E/C Confidential Key Financials Survey - &amp;A&amp;R&amp;G</oddHeader>
    <oddFooter>&amp;L&amp;10© Environmental Financial Consulting Group, LLC – All Rights Reserved – Confidential survey for selected recipients only.
Not for further distribution, display, or reproduction.</oddFooter>
  </headerFooter>
  <rowBreaks count="1" manualBreakCount="1">
    <brk id="91" min="1"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 _ C o l u m n s 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 _ C o l u m n s 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 C o l u m n s \ L 1 < / K e y > < / a : K e y > < a : V a l u e   i : t y p e = " T a b l e W i d g e t B a s e V i e w S t a t e " / > < / a : K e y V a l u e O f D i a g r a m O b j e c t K e y a n y T y p e z b w N T n L X > < a : K e y V a l u e O f D i a g r a m O b j e c t K e y a n y T y p e z b w N T n L X > < a : K e y > < K e y > C o l u m n s \ L 2 < / K e y > < / a : K e y > < a : V a l u e   i : t y p e = " T a b l e W i d g e t B a s e V i e w S t a t e " / > < / a : K e y V a l u e O f D i a g r a m O b j e c t K e y a n y T y p e z b w N T n L X > < a : K e y V a l u e O f D i a g r a m O b j e c t K e y a n y T y p e z b w N T n L X > < a : K e y > < K e y > C o l u m n s \ L 3 < / K e y > < / a : K e y > < a : V a l u e   i : t y p e = " T a b l e W i d g e t B a s e V i e w S t a t e " / > < / a : K e y V a l u e O f D i a g r a m O b j e c t K e y a n y T y p e z b w N T n L X > < a : K e y V a l u e O f D i a g r a m O b j e c t K e y a n y T y p e z b w N T n L X > < a : K e y > < K e y > C o l u m n s \ L 4 < / K e y > < / a : K e y > < a : V a l u e   i : t y p e = " T a b l e W i d g e t B a s e V i e w S t a t e " / > < / a : K e y V a l u e O f D i a g r a m O b j e c t K e y a n y T y p e z b w N T n L X > < a : K e y V a l u e O f D i a g r a m O b j e c t K e y a n y T y p e z b w N T n L X > < a : K e y > < K e y > C o l u m n s \ L 5 < / K e y > < / a : K e y > < a : V a l u e   i : t y p e = " T a b l e W i d g e t B a s e V i e w S t a t e " / > < / a : K e y V a l u e O f D i a g r a m O b j e c t K e y a n y T y p e z b w N T n L X > < a : K e y V a l u e O f D i a g r a m O b j e c t K e y a n y T y p e z b w N T n L X > < a : K e y > < K e y > C o l u m n s \ A l i a s < / K e y > < / a : K e y > < a : V a l u e   i : t y p e = " T a b l e W i d g e t B a s e V i e w S t a t e " / > < / a : K e y V a l u e O f D i a g r a m O b j e c t K e y a n y T y p e z b w N T n L X > < a : K e y V a l u e O f D i a g r a m O b j e c t K e y a n y T y p e z b w N T n L X > < a : K e y > < K e y > C o l u m n s \ D a t a   T y p e 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D a t a M a s h u p   s q m i d = " 2 9 9 2 4 7 6 5 - d d 3 e - 4 a 3 d - a 4 7 7 - d 4 f b c 3 3 f 7 0 4 1 "   x m l n s = " h t t p : / / s c h e m a s . m i c r o s o f t . c o m / D a t a M a s h u p " > A A A A A B Q D A A B Q S w M E F A A C A A g A 8 F r o W u 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8 F r o 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a 6 F o o i k e 4 D g A A A B E A A A A T A B w A R m 9 y b X V s Y X M v U 2 V j d G l v b j E u b S C i G A A o o B Q A A A A A A A A A A A A A A A A A A A A A A A A A A A A r T k 0 u y c z P U w i G 0 I b W A F B L A Q I t A B Q A A g A I A P B a 6 F r u L 5 y p p A A A A P Y A A A A S A A A A A A A A A A A A A A A A A A A A A A B D b 2 5 m a W c v U G F j a 2 F n Z S 5 4 b W x Q S w E C L Q A U A A I A C A D w W u h a D 8 r p q 6 Q A A A D p A A A A E w A A A A A A A A A A A A A A A A D w A A A A W 0 N v b n R l b n R f V H l w Z X N d L n h t b F B L A Q I t A B Q A A g A I A P B a 6 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C 6 O 1 q g o 2 T Q I n U b G 9 f p S / t A A A A A A I A A A A A A B B m A A A A A Q A A I A A A A G z D C 4 i X w p d s e z 8 a a T 6 e 9 G K X 6 p 6 5 T 5 c a d O i L F e + 0 Y G / W A A A A A A 6 A A A A A A g A A I A A A A G Q F F a W A L m + Y b F X h G v F T c F Y D M 6 c + 9 j r v I 5 O 6 p p t l q X 2 l U A A A A I R t P 6 x w m N E m z W g G z P B M 9 S / D / Y m F F H z L T H 2 4 v 1 a a Y 1 r P I F g 4 o v o A v d D O O g O x n 8 Q s N a 0 P V r P E E g D f K T M c 4 i 4 7 R P N w K S N S o v C p C y n t M k P q 9 D g F Q A A A A P o 8 4 9 E W t U I n P T M 2 / H 5 t Q d H g W j 1 E u C l + H c L O L F E V O u M K j 2 R e X S a B W d M W o A h e J Z 1 q T 9 + p 9 1 3 M E H N v 4 n M o a V I e F 7 I = < / D a t a M a s h u p > 
</file>

<file path=customXml/item4.xml>��< ? x m l   v e r s i o n = " 1 . 0 "   e n c o d i n g = " U T F - 1 6 " ? > < G e m i n i   x m l n s = " h t t p : / / g e m i n i / p i v o t c u s t o m i z a t i o n / T a b l e X M L _ _ C o l u m n s _ 6 0 e e 5 b d 9 - b e 6 a - 4 b a c - 8 0 a d - c e b 2 1 3 0 b 8 a 3 3 " > < C u s t o m C o n t e n t > < ! [ C D A T A [ < T a b l e W i d g e t G r i d S e r i a l i z a t i o n   x m l n s : x s i = " h t t p : / / w w w . w 3 . o r g / 2 0 0 1 / X M L S c h e m a - i n s t a n c e "   x m l n s : x s d = " h t t p : / / w w w . w 3 . o r g / 2 0 0 1 / X M L S c h e m a " > < C o l u m n S u g g e s t e d T y p e   / > < C o l u m n F o r m a t   / > < C o l u m n A c c u r a c y   / > < C o l u m n C u r r e n c y S y m b o l   / > < C o l u m n P o s i t i v e P a t t e r n   / > < C o l u m n N e g a t i v e P a t t e r n   / > < C o l u m n W i d t h s > < i t e m > < k e y > < s t r i n g > I D < / s t r i n g > < / k e y > < v a l u e > < i n t > 4 9 < / i n t > < / v a l u e > < / i t e m > < i t e m > < k e y > < s t r i n g > L 1 < / s t r i n g > < / k e y > < v a l u e > < i n t > 4 9 < / i n t > < / v a l u e > < / i t e m > < i t e m > < k e y > < s t r i n g > L 2 < / s t r i n g > < / k e y > < v a l u e > < i n t > 4 9 < / i n t > < / v a l u e > < / i t e m > < i t e m > < k e y > < s t r i n g > L 3 < / s t r i n g > < / k e y > < v a l u e > < i n t > 4 9 < / i n t > < / v a l u e > < / i t e m > < i t e m > < k e y > < s t r i n g > L 4 < / s t r i n g > < / k e y > < v a l u e > < i n t > 4 9 < / i n t > < / v a l u e > < / i t e m > < i t e m > < k e y > < s t r i n g > L 5 < / s t r i n g > < / k e y > < v a l u e > < i n t > 4 9 < / i n t > < / v a l u e > < / i t e m > < i t e m > < k e y > < s t r i n g > A l i a s < / s t r i n g > < / k e y > < v a l u e > < i n t > 6 6 < / i n t > < / v a l u e > < / i t e m > < i t e m > < k e y > < s t r i n g > D a t a   T y p e < / s t r i n g > < / k e y > < v a l u e > < i n t > 9 6 < / i n t > < / v a l u e > < / i t e m > < / C o l u m n W i d t h s > < C o l u m n D i s p l a y I n d e x > < i t e m > < k e y > < s t r i n g > I D < / s t r i n g > < / k e y > < v a l u e > < i n t > 0 < / i n t > < / v a l u e > < / i t e m > < i t e m > < k e y > < s t r i n g > L 1 < / s t r i n g > < / k e y > < v a l u e > < i n t > 1 < / i n t > < / v a l u e > < / i t e m > < i t e m > < k e y > < s t r i n g > L 2 < / s t r i n g > < / k e y > < v a l u e > < i n t > 2 < / i n t > < / v a l u e > < / i t e m > < i t e m > < k e y > < s t r i n g > L 3 < / s t r i n g > < / k e y > < v a l u e > < i n t > 3 < / i n t > < / v a l u e > < / i t e m > < i t e m > < k e y > < s t r i n g > L 4 < / s t r i n g > < / k e y > < v a l u e > < i n t > 4 < / i n t > < / v a l u e > < / i t e m > < i t e m > < k e y > < s t r i n g > L 5 < / s t r i n g > < / k e y > < v a l u e > < i n t > 5 < / i n t > < / v a l u e > < / i t e m > < i t e m > < k e y > < s t r i n g > A l i a s < / s t r i n g > < / k e y > < v a l u e > < i n t > 6 < / i n t > < / v a l u e > < / i t e m > < i t e m > < k e y > < s t r i n g > D a t a   T y p e < / s t r i n g > < / k e y > < v a l u e > < i n t > 7 < / 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BBB8237-403F-4EB5-9563-0FB9FAE93A04}">
  <ds:schemaRefs/>
</ds:datastoreItem>
</file>

<file path=customXml/itemProps2.xml><?xml version="1.0" encoding="utf-8"?>
<ds:datastoreItem xmlns:ds="http://schemas.openxmlformats.org/officeDocument/2006/customXml" ds:itemID="{E6CCE95A-2637-4A7E-9170-698ED1160A0F}">
  <ds:schemaRefs/>
</ds:datastoreItem>
</file>

<file path=customXml/itemProps3.xml><?xml version="1.0" encoding="utf-8"?>
<ds:datastoreItem xmlns:ds="http://schemas.openxmlformats.org/officeDocument/2006/customXml" ds:itemID="{15EB0A30-E423-4691-9C37-F14C86DBB4DF}">
  <ds:schemaRefs>
    <ds:schemaRef ds:uri="http://schemas.microsoft.com/DataMashup"/>
  </ds:schemaRefs>
</ds:datastoreItem>
</file>

<file path=customXml/itemProps4.xml><?xml version="1.0" encoding="utf-8"?>
<ds:datastoreItem xmlns:ds="http://schemas.openxmlformats.org/officeDocument/2006/customXml" ds:itemID="{695FA30D-0CAA-4EC3-9284-2626BCC3FA3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70</vt:i4>
      </vt:variant>
    </vt:vector>
  </HeadingPairs>
  <TitlesOfParts>
    <vt:vector size="73" baseType="lpstr">
      <vt:lpstr>Cover</vt:lpstr>
      <vt:lpstr>Key Financials</vt:lpstr>
      <vt:lpstr>Glossary</vt:lpstr>
      <vt:lpstr>_Currency</vt:lpstr>
      <vt:lpstr>_ESOP?</vt:lpstr>
      <vt:lpstr>Dropdown_2YChangeInESGDemand</vt:lpstr>
      <vt:lpstr>Dropdown_AcctingMethods</vt:lpstr>
      <vt:lpstr>Dropdown_AcqPurpose</vt:lpstr>
      <vt:lpstr>Dropdown_AIAspirations</vt:lpstr>
      <vt:lpstr>Dropdown_AITrainingSpend</vt:lpstr>
      <vt:lpstr>Dropdown_AnnualFFPChange</vt:lpstr>
      <vt:lpstr>Dropdown_Blank</vt:lpstr>
      <vt:lpstr>Dropdown_BLPorAITraining</vt:lpstr>
      <vt:lpstr>'CEO Supplement'!Dropdown_Code</vt:lpstr>
      <vt:lpstr>Exchange_Rates_Import!Dropdown_Code</vt:lpstr>
      <vt:lpstr>Dropdown_Code</vt:lpstr>
      <vt:lpstr>Dropdown_Countries</vt:lpstr>
      <vt:lpstr>Dropdown_CustAdvancesLoc</vt:lpstr>
      <vt:lpstr>Dropdown_DEI</vt:lpstr>
      <vt:lpstr>Dropdown_DeterminingClientSelectivity</vt:lpstr>
      <vt:lpstr>Dropdown_DiversityChallenges</vt:lpstr>
      <vt:lpstr>Dropdown_EaseIncreasingPricing</vt:lpstr>
      <vt:lpstr>Dropdown_EmployeeAIUse</vt:lpstr>
      <vt:lpstr>Dropdown_EmployeeNextSteps</vt:lpstr>
      <vt:lpstr>Dropdown_FFPChangeDriver</vt:lpstr>
      <vt:lpstr>Dropdown_FTEsOffshored</vt:lpstr>
      <vt:lpstr>Dropdown_IncentivizeWorkshare</vt:lpstr>
      <vt:lpstr>Dropdown_InclusivityProgramNow</vt:lpstr>
      <vt:lpstr>Dropdown_InclusivityProgramYearAgo</vt:lpstr>
      <vt:lpstr>Dropdown_IntChallenges</vt:lpstr>
      <vt:lpstr>Dropdown_MajorityMinority</vt:lpstr>
      <vt:lpstr>Dropdown_ManagementConsultingRevenue</vt:lpstr>
      <vt:lpstr>Dropdown_Months</vt:lpstr>
      <vt:lpstr>Dropdown_Pressure</vt:lpstr>
      <vt:lpstr>Dropdown_PrivateType</vt:lpstr>
      <vt:lpstr>Dropdown_ProfitabilityOutlook</vt:lpstr>
      <vt:lpstr>Dropdown_PublicPrivate</vt:lpstr>
      <vt:lpstr>Dropdown_RecessionBelief</vt:lpstr>
      <vt:lpstr>Dropdown_RecessionFear</vt:lpstr>
      <vt:lpstr>Dropdown_ResponseEvolvingESG</vt:lpstr>
      <vt:lpstr>Dropdown_RevenueOutlook</vt:lpstr>
      <vt:lpstr>Dropdown_Sectors</vt:lpstr>
      <vt:lpstr>Dropdown_SetAsideMnADiscount</vt:lpstr>
      <vt:lpstr>Dropdown_States</vt:lpstr>
      <vt:lpstr>Dropdown_StrategicInitiativeCost</vt:lpstr>
      <vt:lpstr>Dropdown_StrategicInitiativeROI</vt:lpstr>
      <vt:lpstr>Dropdown_StratPlanHorizon</vt:lpstr>
      <vt:lpstr>Dropdown_SubscriptionOrSoftwareProfit?</vt:lpstr>
      <vt:lpstr>Dropdown_SuccessIncreasingPricing</vt:lpstr>
      <vt:lpstr>Dropdown_Sustainability</vt:lpstr>
      <vt:lpstr>Dropdown_Sustainability_OfferingServices</vt:lpstr>
      <vt:lpstr>Dropdown_Sustainability_Regulations</vt:lpstr>
      <vt:lpstr>Dropdown_Sustainability_ROI</vt:lpstr>
      <vt:lpstr>Dropdown_SustainabilityChallenges</vt:lpstr>
      <vt:lpstr>Dropdown_SustainabilityDisclosureRatings</vt:lpstr>
      <vt:lpstr>Dropdown_SustainabilityDisclosures</vt:lpstr>
      <vt:lpstr>Dropdown_SustainabilityDrivers</vt:lpstr>
      <vt:lpstr>Dropdown_SustainabilityLoan</vt:lpstr>
      <vt:lpstr>Dropdown_SustainabilityMeasures</vt:lpstr>
      <vt:lpstr>Dropdown_SustainabilityOpport.</vt:lpstr>
      <vt:lpstr>Dropdown_SustainabilityPerfReport</vt:lpstr>
      <vt:lpstr>Dropdown_TalentFrequency</vt:lpstr>
      <vt:lpstr>Dropdown_Years</vt:lpstr>
      <vt:lpstr>Dropdown_YesNo</vt:lpstr>
      <vt:lpstr>'Additional Revenue Details'!Print_Area</vt:lpstr>
      <vt:lpstr>'CapEx, M&amp;A'!Print_Area</vt:lpstr>
      <vt:lpstr>'CEO Supplement'!Print_Area</vt:lpstr>
      <vt:lpstr>Cover!Print_Area</vt:lpstr>
      <vt:lpstr>Glossary!Print_Area</vt:lpstr>
      <vt:lpstr>'Key Financials'!Print_Area</vt:lpstr>
      <vt:lpstr>Overhead!Print_Area</vt:lpstr>
      <vt:lpstr>'Ownership, Governance, Talent'!Print_Area</vt:lpstr>
      <vt:lpstr>'Revenue Details'!Print_Area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wonyach@efcg.com</dc:creator>
  <cp:lastModifiedBy>William Onyach</cp:lastModifiedBy>
  <cp:lastPrinted>2025-07-02T20:05:52Z</cp:lastPrinted>
  <dcterms:created xsi:type="dcterms:W3CDTF">2019-06-11T16:35:10Z</dcterms:created>
  <dcterms:modified xsi:type="dcterms:W3CDTF">2025-07-08T16:47:04Z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{65221D2A-8A8E-4BC2-B910-5C4533E69722}</vt:lpwstr>
  </property>
</Properties>
</file>